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GL-LDC-FS04\Shared\SGL Finance\10.0 Staff folders\10.10 Coetzee\Quarterlies\2026 Quarter 2\Reports\"/>
    </mc:Choice>
  </mc:AlternateContent>
  <xr:revisionPtr revIDLastSave="0" documentId="13_ncr:1_{E4FDFD28-0997-4D14-811A-842CBBD621D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OLD Qrt" sheetId="8" r:id="rId1"/>
    <sheet name="SA Gold ops" sheetId="2" r:id="rId2"/>
    <sheet name="PLAT Qrt" sheetId="7" r:id="rId3"/>
    <sheet name=" SA PGM ops" sheetId="1" r:id="rId4"/>
    <sheet name=" US PGM ops" sheetId="3" r:id="rId5"/>
    <sheet name="EUROPE ops" sheetId="4" r:id="rId6"/>
    <sheet name="NCR Qrt" sheetId="9" r:id="rId7"/>
    <sheet name="AUSTRALIAN ops" sheetId="5" r:id="rId8"/>
    <sheet name="RECYCLING ops" sheetId="6" r:id="rId9"/>
  </sheets>
  <definedNames>
    <definedName name="_xlnm._FilterDatabase" localSheetId="3" hidden="1">' SA PGM ops'!$AM$3:$AQ$376</definedName>
    <definedName name="_xlnm.Print_Area" localSheetId="3">' SA PGM ops'!$A$1:$AB$391</definedName>
    <definedName name="_xlnm.Print_Area" localSheetId="4">' US PGM ops'!$A$1:$W$73</definedName>
    <definedName name="_xlnm.Print_Area" localSheetId="0">'GOLD Qrt'!$A$1:$N$50</definedName>
    <definedName name="_xlnm.Print_Area" localSheetId="6">'NCR Qrt'!$A$1:$D$33</definedName>
    <definedName name="_xlnm.Print_Area" localSheetId="2">'PLAT Qrt'!$A$1:$N$50</definedName>
    <definedName name="_xlnm.Print_Area" localSheetId="1">'SA Gold ops'!$A$1:$CH$305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Q210" i="1" l="1"/>
  <c r="K25" i="6"/>
  <c r="K24" i="6"/>
  <c r="T28" i="4"/>
  <c r="S28" i="4"/>
  <c r="T23" i="4"/>
  <c r="S23" i="4"/>
  <c r="T15" i="4"/>
  <c r="S15" i="4"/>
  <c r="T7" i="4"/>
  <c r="S7" i="4"/>
  <c r="AO70" i="3"/>
  <c r="AO69" i="3"/>
  <c r="AN70" i="3"/>
  <c r="AN69" i="3"/>
  <c r="AM64" i="3"/>
  <c r="AM70" i="3"/>
  <c r="AM69" i="3"/>
  <c r="AL28" i="3"/>
  <c r="AM28" i="3"/>
  <c r="AQ268" i="1"/>
  <c r="AQ259" i="1"/>
  <c r="AQ260" i="1"/>
  <c r="AQ257" i="1"/>
  <c r="AQ217" i="1"/>
  <c r="CV262" i="2"/>
  <c r="CV261" i="2"/>
  <c r="CV62" i="2"/>
  <c r="AQ375" i="1"/>
  <c r="AQ376" i="1"/>
  <c r="AS375" i="1"/>
  <c r="AS374" i="1"/>
  <c r="AS373" i="1"/>
  <c r="AS372" i="1"/>
  <c r="AR375" i="1"/>
  <c r="AR374" i="1"/>
  <c r="AR373" i="1"/>
  <c r="AR372" i="1"/>
  <c r="AQ374" i="1"/>
  <c r="AQ373" i="1"/>
  <c r="AQ372" i="1"/>
  <c r="AP360" i="1"/>
  <c r="AP361" i="1"/>
  <c r="AP363" i="1"/>
  <c r="AP366" i="1"/>
  <c r="K37" i="6"/>
  <c r="AL70" i="3"/>
  <c r="AL69" i="3"/>
  <c r="AG54" i="3"/>
  <c r="AP259" i="1"/>
  <c r="AP260" i="1"/>
  <c r="AP268" i="1"/>
  <c r="AP257" i="1"/>
  <c r="AP217" i="1"/>
  <c r="CU164" i="2"/>
  <c r="N38" i="6"/>
  <c r="M38" i="6"/>
  <c r="L38" i="6"/>
  <c r="K38" i="6"/>
  <c r="N26" i="6"/>
  <c r="N31" i="6"/>
  <c r="M26" i="6"/>
  <c r="M31" i="6"/>
  <c r="L26" i="6"/>
  <c r="L31" i="6" s="1"/>
  <c r="K26" i="6"/>
  <c r="K31" i="6"/>
  <c r="O37" i="5"/>
  <c r="R41" i="5"/>
  <c r="Q41" i="5"/>
  <c r="P41" i="5"/>
  <c r="O41" i="5"/>
  <c r="R39" i="5"/>
  <c r="Q39" i="5"/>
  <c r="P39" i="5"/>
  <c r="O39" i="5"/>
  <c r="R37" i="5"/>
  <c r="Q37" i="5"/>
  <c r="P37" i="5"/>
  <c r="R33" i="5"/>
  <c r="Q33" i="5"/>
  <c r="P33" i="5"/>
  <c r="O33" i="5"/>
  <c r="R22" i="5"/>
  <c r="R27" i="5"/>
  <c r="Q22" i="5"/>
  <c r="Q27" i="5"/>
  <c r="P22" i="5"/>
  <c r="P27" i="5"/>
  <c r="O22" i="5"/>
  <c r="O27" i="5"/>
  <c r="S44" i="4"/>
  <c r="V44" i="4"/>
  <c r="U44" i="4"/>
  <c r="T44" i="4"/>
  <c r="V33" i="4"/>
  <c r="V38" i="4"/>
  <c r="U33" i="4"/>
  <c r="U38" i="4"/>
  <c r="T33" i="4"/>
  <c r="T38" i="4"/>
  <c r="S33" i="4"/>
  <c r="S38" i="4"/>
  <c r="AO73" i="3"/>
  <c r="AN73" i="3"/>
  <c r="AO64" i="3"/>
  <c r="AO67" i="3"/>
  <c r="AN64" i="3"/>
  <c r="AN67" i="3"/>
  <c r="AM67" i="3"/>
  <c r="AL64" i="3"/>
  <c r="AL67" i="3"/>
  <c r="AO54" i="3"/>
  <c r="AN54" i="3"/>
  <c r="AM54" i="3"/>
  <c r="AL54" i="3"/>
  <c r="AO52" i="3"/>
  <c r="AN52" i="3"/>
  <c r="AM52" i="3"/>
  <c r="AL52" i="3"/>
  <c r="AO48" i="3"/>
  <c r="AN48" i="3"/>
  <c r="AM48" i="3"/>
  <c r="AL48" i="3"/>
  <c r="AO46" i="3"/>
  <c r="AN46" i="3"/>
  <c r="AM46" i="3"/>
  <c r="AL46" i="3"/>
  <c r="AO42" i="3"/>
  <c r="AN42" i="3"/>
  <c r="AM42" i="3"/>
  <c r="AL42" i="3"/>
  <c r="AO28" i="3"/>
  <c r="AN28" i="3"/>
  <c r="AL31" i="3"/>
  <c r="AL36" i="3"/>
  <c r="AO25" i="3"/>
  <c r="AO31" i="3"/>
  <c r="AO36" i="3"/>
  <c r="AN25" i="3"/>
  <c r="AN31" i="3"/>
  <c r="AN36" i="3"/>
  <c r="AM25" i="3"/>
  <c r="AM31" i="3"/>
  <c r="AM36" i="3"/>
  <c r="AL25" i="3"/>
  <c r="AR261" i="1"/>
  <c r="AQ261" i="1"/>
  <c r="AQ246" i="1"/>
  <c r="AQ100" i="1"/>
  <c r="AQ98" i="1"/>
  <c r="AS366" i="1"/>
  <c r="AR366" i="1"/>
  <c r="AQ366" i="1"/>
  <c r="AS365" i="1"/>
  <c r="AR365" i="1"/>
  <c r="AQ365" i="1"/>
  <c r="AP365" i="1"/>
  <c r="AS363" i="1"/>
  <c r="AR363" i="1"/>
  <c r="AQ363" i="1"/>
  <c r="AS362" i="1"/>
  <c r="AR362" i="1"/>
  <c r="AQ362" i="1"/>
  <c r="AP362" i="1"/>
  <c r="AS361" i="1"/>
  <c r="AR361" i="1"/>
  <c r="AQ361" i="1"/>
  <c r="AS360" i="1"/>
  <c r="AR360" i="1"/>
  <c r="AQ360" i="1"/>
  <c r="AS354" i="1"/>
  <c r="AS357" i="1"/>
  <c r="AR354" i="1"/>
  <c r="AR357" i="1"/>
  <c r="AQ354" i="1"/>
  <c r="AQ357" i="1"/>
  <c r="AP354" i="1"/>
  <c r="AP357" i="1"/>
  <c r="AS344" i="1"/>
  <c r="AS347" i="1"/>
  <c r="AR344" i="1"/>
  <c r="AR347" i="1"/>
  <c r="AQ344" i="1"/>
  <c r="AQ347" i="1"/>
  <c r="AP344" i="1"/>
  <c r="AP347" i="1"/>
  <c r="AS334" i="1"/>
  <c r="AS337" i="1"/>
  <c r="AR334" i="1"/>
  <c r="AR337" i="1"/>
  <c r="AQ334" i="1"/>
  <c r="AQ337" i="1"/>
  <c r="AP334" i="1"/>
  <c r="AP337" i="1"/>
  <c r="AS324" i="1"/>
  <c r="AS327" i="1"/>
  <c r="AR324" i="1"/>
  <c r="AR327" i="1"/>
  <c r="AQ324" i="1"/>
  <c r="AQ327" i="1"/>
  <c r="AP324" i="1"/>
  <c r="AP327" i="1"/>
  <c r="AS303" i="1"/>
  <c r="AR303" i="1"/>
  <c r="AQ303" i="1"/>
  <c r="AP303" i="1"/>
  <c r="AS301" i="1"/>
  <c r="AR301" i="1"/>
  <c r="AQ301" i="1"/>
  <c r="AP301" i="1"/>
  <c r="AS297" i="1"/>
  <c r="AR297" i="1"/>
  <c r="AQ297" i="1"/>
  <c r="AP297" i="1"/>
  <c r="AS295" i="1"/>
  <c r="AR295" i="1"/>
  <c r="AQ295" i="1"/>
  <c r="AP295" i="1"/>
  <c r="AS290" i="1"/>
  <c r="AR290" i="1"/>
  <c r="AQ290" i="1"/>
  <c r="AP290" i="1"/>
  <c r="AS279" i="1"/>
  <c r="AS284" i="1"/>
  <c r="AR279" i="1"/>
  <c r="AR284" i="1"/>
  <c r="AQ279" i="1"/>
  <c r="AQ284" i="1"/>
  <c r="AP279" i="1"/>
  <c r="AP284" i="1"/>
  <c r="AS269" i="1"/>
  <c r="AR269" i="1"/>
  <c r="AQ269" i="1"/>
  <c r="AP269" i="1"/>
  <c r="AS252" i="1"/>
  <c r="AR252" i="1"/>
  <c r="AQ252" i="1"/>
  <c r="AP252" i="1"/>
  <c r="AS250" i="1"/>
  <c r="AR250" i="1"/>
  <c r="AQ250" i="1"/>
  <c r="AP250" i="1"/>
  <c r="AS246" i="1"/>
  <c r="AR246" i="1"/>
  <c r="AP246" i="1"/>
  <c r="AS244" i="1"/>
  <c r="AR244" i="1"/>
  <c r="AQ244" i="1"/>
  <c r="AP244" i="1"/>
  <c r="AS239" i="1"/>
  <c r="AR239" i="1"/>
  <c r="AQ239" i="1"/>
  <c r="AP239" i="1"/>
  <c r="AS228" i="1"/>
  <c r="AS233" i="1"/>
  <c r="AR228" i="1"/>
  <c r="AR233" i="1"/>
  <c r="AQ228" i="1"/>
  <c r="AQ233" i="1"/>
  <c r="AP228" i="1"/>
  <c r="AP233" i="1"/>
  <c r="AS218" i="1"/>
  <c r="AR218" i="1"/>
  <c r="AQ218" i="1"/>
  <c r="AP218" i="1"/>
  <c r="AS210" i="1"/>
  <c r="AR210" i="1"/>
  <c r="AP210" i="1"/>
  <c r="AS201" i="1"/>
  <c r="AR201" i="1"/>
  <c r="AQ201" i="1"/>
  <c r="AP201" i="1"/>
  <c r="AS199" i="1"/>
  <c r="AR199" i="1"/>
  <c r="AQ199" i="1"/>
  <c r="AP199" i="1"/>
  <c r="AS195" i="1"/>
  <c r="AR195" i="1"/>
  <c r="AQ195" i="1"/>
  <c r="AP195" i="1"/>
  <c r="AS193" i="1"/>
  <c r="AR193" i="1"/>
  <c r="AQ193" i="1"/>
  <c r="AP193" i="1"/>
  <c r="AS188" i="1"/>
  <c r="AR188" i="1"/>
  <c r="AQ188" i="1"/>
  <c r="AP188" i="1"/>
  <c r="AS177" i="1"/>
  <c r="AS182" i="1"/>
  <c r="AR177" i="1"/>
  <c r="AR182" i="1"/>
  <c r="AQ177" i="1"/>
  <c r="AQ182" i="1"/>
  <c r="AP177" i="1"/>
  <c r="AP182" i="1"/>
  <c r="AS167" i="1"/>
  <c r="AR167" i="1"/>
  <c r="AQ167" i="1"/>
  <c r="AP167" i="1"/>
  <c r="AS159" i="1"/>
  <c r="AR159" i="1"/>
  <c r="AQ159" i="1"/>
  <c r="AP159" i="1"/>
  <c r="AS150" i="1"/>
  <c r="AR150" i="1"/>
  <c r="AQ150" i="1"/>
  <c r="AP150" i="1"/>
  <c r="AS148" i="1"/>
  <c r="AR148" i="1"/>
  <c r="AQ148" i="1"/>
  <c r="AP148" i="1"/>
  <c r="AS144" i="1"/>
  <c r="AR144" i="1"/>
  <c r="AQ144" i="1"/>
  <c r="AP144" i="1"/>
  <c r="AS142" i="1"/>
  <c r="AR142" i="1"/>
  <c r="AQ142" i="1"/>
  <c r="AP142" i="1"/>
  <c r="AS137" i="1"/>
  <c r="AR137" i="1"/>
  <c r="AQ137" i="1"/>
  <c r="AP137" i="1"/>
  <c r="AS126" i="1"/>
  <c r="AS131" i="1"/>
  <c r="AR126" i="1"/>
  <c r="AR131" i="1"/>
  <c r="AQ126" i="1"/>
  <c r="AQ131" i="1"/>
  <c r="AP126" i="1"/>
  <c r="AP131" i="1"/>
  <c r="AS116" i="1"/>
  <c r="AR116" i="1"/>
  <c r="AQ116" i="1"/>
  <c r="AP116" i="1"/>
  <c r="AS112" i="1"/>
  <c r="AR112" i="1"/>
  <c r="AQ112" i="1"/>
  <c r="AP112" i="1"/>
  <c r="AS108" i="1"/>
  <c r="AS120" i="1"/>
  <c r="AR108" i="1"/>
  <c r="AR120" i="1"/>
  <c r="AQ108" i="1"/>
  <c r="AQ120" i="1"/>
  <c r="AP108" i="1"/>
  <c r="AP120" i="1"/>
  <c r="AS100" i="1"/>
  <c r="AR100" i="1"/>
  <c r="AP100" i="1"/>
  <c r="AS98" i="1"/>
  <c r="AR98" i="1"/>
  <c r="AP98" i="1"/>
  <c r="AS94" i="1"/>
  <c r="AR94" i="1"/>
  <c r="AQ94" i="1"/>
  <c r="AP94" i="1"/>
  <c r="AS92" i="1"/>
  <c r="AR92" i="1"/>
  <c r="AQ92" i="1"/>
  <c r="AP92" i="1"/>
  <c r="AS87" i="1"/>
  <c r="AR87" i="1"/>
  <c r="AQ87" i="1"/>
  <c r="AP87" i="1"/>
  <c r="AS76" i="1"/>
  <c r="AS81" i="1"/>
  <c r="AR76" i="1"/>
  <c r="AR81" i="1"/>
  <c r="AQ76" i="1"/>
  <c r="AQ81" i="1"/>
  <c r="AP76" i="1"/>
  <c r="AP81" i="1"/>
  <c r="AS70" i="1"/>
  <c r="AS66" i="1"/>
  <c r="AR66" i="1"/>
  <c r="AQ66" i="1"/>
  <c r="AP66" i="1"/>
  <c r="AS62" i="1"/>
  <c r="AR62" i="1"/>
  <c r="AQ62" i="1"/>
  <c r="AP62" i="1"/>
  <c r="AS58" i="1"/>
  <c r="AR58" i="1"/>
  <c r="AR70" i="1"/>
  <c r="AQ58" i="1"/>
  <c r="AQ70" i="1"/>
  <c r="AP58" i="1"/>
  <c r="AP70" i="1"/>
  <c r="CW260" i="2"/>
  <c r="CW262" i="2"/>
  <c r="CW58" i="2"/>
  <c r="CU58" i="2"/>
  <c r="CX305" i="2"/>
  <c r="CW305" i="2"/>
  <c r="CV305" i="2"/>
  <c r="CU305" i="2"/>
  <c r="CX300" i="2"/>
  <c r="CW300" i="2"/>
  <c r="CV300" i="2"/>
  <c r="CU300" i="2"/>
  <c r="CX298" i="2"/>
  <c r="CW298" i="2"/>
  <c r="CV298" i="2"/>
  <c r="CU298" i="2"/>
  <c r="CX292" i="2"/>
  <c r="CW292" i="2"/>
  <c r="CV292" i="2"/>
  <c r="CU292" i="2"/>
  <c r="CX290" i="2"/>
  <c r="CW290" i="2"/>
  <c r="CV290" i="2"/>
  <c r="CU290" i="2"/>
  <c r="CX283" i="2"/>
  <c r="CW283" i="2"/>
  <c r="CV283" i="2"/>
  <c r="CU283" i="2"/>
  <c r="CX282" i="2"/>
  <c r="CW282" i="2"/>
  <c r="CV282" i="2"/>
  <c r="CU282" i="2"/>
  <c r="CX278" i="2"/>
  <c r="CW278" i="2"/>
  <c r="CV278" i="2"/>
  <c r="CU278" i="2"/>
  <c r="CX277" i="2"/>
  <c r="CW277" i="2"/>
  <c r="CV277" i="2"/>
  <c r="CU277" i="2"/>
  <c r="CX276" i="2"/>
  <c r="CW276" i="2"/>
  <c r="CV276" i="2"/>
  <c r="CU276" i="2"/>
  <c r="CX269" i="2"/>
  <c r="CW269" i="2"/>
  <c r="CV269" i="2"/>
  <c r="CU269" i="2"/>
  <c r="CX268" i="2"/>
  <c r="CW268" i="2"/>
  <c r="CV268" i="2"/>
  <c r="CU268" i="2"/>
  <c r="CX261" i="2"/>
  <c r="CX265" i="2"/>
  <c r="CW261" i="2"/>
  <c r="CW265" i="2"/>
  <c r="CU261" i="2"/>
  <c r="CX260" i="2"/>
  <c r="CV260" i="2"/>
  <c r="CU260" i="2"/>
  <c r="CX258" i="2"/>
  <c r="CW258" i="2"/>
  <c r="CV258" i="2"/>
  <c r="CU258" i="2"/>
  <c r="CX257" i="2"/>
  <c r="CW257" i="2"/>
  <c r="CV257" i="2"/>
  <c r="CU257" i="2"/>
  <c r="CX252" i="2"/>
  <c r="CW252" i="2"/>
  <c r="CV252" i="2"/>
  <c r="CU252" i="2"/>
  <c r="CX250" i="2"/>
  <c r="CW250" i="2"/>
  <c r="CV250" i="2"/>
  <c r="CU250" i="2"/>
  <c r="CX244" i="2"/>
  <c r="CW244" i="2"/>
  <c r="CV244" i="2"/>
  <c r="CU244" i="2"/>
  <c r="CX242" i="2"/>
  <c r="CW242" i="2"/>
  <c r="CV242" i="2"/>
  <c r="CU242" i="2"/>
  <c r="CX233" i="2"/>
  <c r="CX238" i="2"/>
  <c r="CW233" i="2"/>
  <c r="CW238" i="2"/>
  <c r="CV233" i="2"/>
  <c r="CV238" i="2"/>
  <c r="CU233" i="2"/>
  <c r="CU238" i="2"/>
  <c r="CX228" i="2"/>
  <c r="CW228" i="2"/>
  <c r="CV228" i="2"/>
  <c r="CU228" i="2"/>
  <c r="CX223" i="2"/>
  <c r="CW223" i="2"/>
  <c r="CV223" i="2"/>
  <c r="CU223" i="2"/>
  <c r="CX219" i="2"/>
  <c r="CW219" i="2"/>
  <c r="CW215" i="2"/>
  <c r="CV219" i="2"/>
  <c r="CU219" i="2"/>
  <c r="CX211" i="2"/>
  <c r="CW211" i="2"/>
  <c r="CV211" i="2"/>
  <c r="CU211" i="2"/>
  <c r="CX201" i="2"/>
  <c r="CW201" i="2"/>
  <c r="CV201" i="2"/>
  <c r="CU201" i="2"/>
  <c r="CX199" i="2"/>
  <c r="CW199" i="2"/>
  <c r="CV199" i="2"/>
  <c r="CU199" i="2"/>
  <c r="CX193" i="2"/>
  <c r="CW193" i="2"/>
  <c r="CV193" i="2"/>
  <c r="CU193" i="2"/>
  <c r="CX191" i="2"/>
  <c r="CW191" i="2"/>
  <c r="CV191" i="2"/>
  <c r="CU191" i="2"/>
  <c r="CW187" i="2"/>
  <c r="CV187" i="2"/>
  <c r="CX182" i="2"/>
  <c r="CX187" i="2"/>
  <c r="CW182" i="2"/>
  <c r="CV182" i="2"/>
  <c r="CU182" i="2"/>
  <c r="CU187" i="2"/>
  <c r="CX177" i="2"/>
  <c r="CW177" i="2"/>
  <c r="CV177" i="2"/>
  <c r="CU177" i="2"/>
  <c r="CX172" i="2"/>
  <c r="CW172" i="2"/>
  <c r="CV172" i="2"/>
  <c r="CU172" i="2"/>
  <c r="CX168" i="2"/>
  <c r="CW168" i="2"/>
  <c r="CW164" i="2"/>
  <c r="CV168" i="2"/>
  <c r="CU168" i="2"/>
  <c r="CX160" i="2"/>
  <c r="CW160" i="2"/>
  <c r="CV160" i="2"/>
  <c r="CU160" i="2"/>
  <c r="CX150" i="2"/>
  <c r="CW150" i="2"/>
  <c r="CV150" i="2"/>
  <c r="CU150" i="2"/>
  <c r="CX148" i="2"/>
  <c r="CW148" i="2"/>
  <c r="CV148" i="2"/>
  <c r="CU148" i="2"/>
  <c r="CX142" i="2"/>
  <c r="CW142" i="2"/>
  <c r="CV142" i="2"/>
  <c r="CU142" i="2"/>
  <c r="CX140" i="2"/>
  <c r="CW140" i="2"/>
  <c r="CV140" i="2"/>
  <c r="CU140" i="2"/>
  <c r="CX131" i="2"/>
  <c r="CX136" i="2"/>
  <c r="CW131" i="2"/>
  <c r="CW136" i="2"/>
  <c r="CV131" i="2"/>
  <c r="CV136" i="2"/>
  <c r="CU131" i="2"/>
  <c r="CU136" i="2"/>
  <c r="CX126" i="2"/>
  <c r="CW126" i="2"/>
  <c r="CV126" i="2"/>
  <c r="CU126" i="2"/>
  <c r="CX117" i="2"/>
  <c r="CX113" i="2"/>
  <c r="CW117" i="2"/>
  <c r="CW113" i="2"/>
  <c r="CV117" i="2"/>
  <c r="CU117" i="2"/>
  <c r="CX109" i="2"/>
  <c r="CW109" i="2"/>
  <c r="CV109" i="2"/>
  <c r="CU109" i="2"/>
  <c r="CX99" i="2"/>
  <c r="CW99" i="2"/>
  <c r="CV99" i="2"/>
  <c r="CU99" i="2"/>
  <c r="CX97" i="2"/>
  <c r="CW97" i="2"/>
  <c r="CV97" i="2"/>
  <c r="CU97" i="2"/>
  <c r="CX91" i="2"/>
  <c r="CW91" i="2"/>
  <c r="CV91" i="2"/>
  <c r="CU91" i="2"/>
  <c r="CX89" i="2"/>
  <c r="CW89" i="2"/>
  <c r="CV89" i="2"/>
  <c r="CU89" i="2"/>
  <c r="CX85" i="2"/>
  <c r="CX80" i="2"/>
  <c r="CW80" i="2"/>
  <c r="CW85" i="2"/>
  <c r="CV80" i="2"/>
  <c r="CV85" i="2"/>
  <c r="CU80" i="2"/>
  <c r="CU85" i="2"/>
  <c r="CX75" i="2"/>
  <c r="CW75" i="2"/>
  <c r="CV75" i="2"/>
  <c r="CU75" i="2"/>
  <c r="CX66" i="2"/>
  <c r="CW66" i="2"/>
  <c r="CV66" i="2"/>
  <c r="CU66" i="2"/>
  <c r="CX58" i="2"/>
  <c r="CV58" i="2"/>
  <c r="CX49" i="2"/>
  <c r="CW49" i="2"/>
  <c r="CV49" i="2"/>
  <c r="CU49" i="2"/>
  <c r="CX47" i="2"/>
  <c r="CW47" i="2"/>
  <c r="CV47" i="2"/>
  <c r="CU47" i="2"/>
  <c r="CX41" i="2"/>
  <c r="CW41" i="2"/>
  <c r="CV41" i="2"/>
  <c r="CU41" i="2"/>
  <c r="CX39" i="2"/>
  <c r="CW39" i="2"/>
  <c r="CV39" i="2"/>
  <c r="CU39" i="2"/>
  <c r="CX30" i="2"/>
  <c r="CX35" i="2"/>
  <c r="CW30" i="2"/>
  <c r="CW35" i="2"/>
  <c r="CV30" i="2"/>
  <c r="CV35" i="2"/>
  <c r="CU30" i="2"/>
  <c r="CU35" i="2"/>
  <c r="CX25" i="2"/>
  <c r="CW25" i="2"/>
  <c r="CV25" i="2"/>
  <c r="CU25" i="2"/>
  <c r="CX16" i="2"/>
  <c r="CX12" i="2"/>
  <c r="CW16" i="2"/>
  <c r="CV16" i="2"/>
  <c r="CU16" i="2"/>
  <c r="CX8" i="2"/>
  <c r="CW8" i="2"/>
  <c r="CV8" i="2"/>
  <c r="CU8" i="2"/>
  <c r="AN261" i="1"/>
  <c r="AN259" i="1"/>
  <c r="AM261" i="1"/>
  <c r="AM259" i="1"/>
  <c r="AM246" i="1"/>
  <c r="AM100" i="1"/>
  <c r="AM98" i="1"/>
  <c r="CR262" i="2"/>
  <c r="CV215" i="2"/>
  <c r="CV164" i="2"/>
  <c r="AL73" i="3"/>
  <c r="CU262" i="2"/>
  <c r="CU62" i="2"/>
  <c r="AM73" i="3"/>
  <c r="AP364" i="1"/>
  <c r="AP261" i="1"/>
  <c r="AS261" i="1"/>
  <c r="AR376" i="1"/>
  <c r="AS376" i="1"/>
  <c r="AQ364" i="1"/>
  <c r="AQ367" i="1"/>
  <c r="AR364" i="1"/>
  <c r="AR367" i="1"/>
  <c r="AS364" i="1"/>
  <c r="AS367" i="1"/>
  <c r="CV270" i="2"/>
  <c r="CU215" i="2"/>
  <c r="CX215" i="2"/>
  <c r="CX164" i="2"/>
  <c r="CU284" i="2"/>
  <c r="CV113" i="2"/>
  <c r="CV265" i="2"/>
  <c r="CU113" i="2"/>
  <c r="CU264" i="2"/>
  <c r="CW270" i="2"/>
  <c r="CX264" i="2"/>
  <c r="CW264" i="2"/>
  <c r="CU265" i="2"/>
  <c r="CW62" i="2"/>
  <c r="CX62" i="2"/>
  <c r="CV284" i="2"/>
  <c r="CW284" i="2"/>
  <c r="CX284" i="2"/>
  <c r="CW279" i="2"/>
  <c r="CW286" i="2"/>
  <c r="CV279" i="2"/>
  <c r="CV286" i="2"/>
  <c r="CX279" i="2"/>
  <c r="CX286" i="2"/>
  <c r="CU279" i="2"/>
  <c r="CU286" i="2"/>
  <c r="CV264" i="2"/>
  <c r="CX270" i="2"/>
  <c r="CX262" i="2"/>
  <c r="CU12" i="2"/>
  <c r="CV12" i="2"/>
  <c r="CW12" i="2"/>
  <c r="CU270" i="2"/>
  <c r="CS12" i="2"/>
  <c r="AO374" i="1"/>
  <c r="AP367" i="1"/>
  <c r="AP375" i="1"/>
  <c r="AP374" i="1"/>
  <c r="AP372" i="1"/>
  <c r="AP373" i="1"/>
  <c r="CV266" i="2"/>
  <c r="CX266" i="2"/>
  <c r="CW266" i="2"/>
  <c r="CU266" i="2"/>
  <c r="AO268" i="1"/>
  <c r="AO260" i="1"/>
  <c r="AO217" i="1"/>
  <c r="CT12" i="2"/>
  <c r="N37" i="5"/>
  <c r="AP376" i="1"/>
  <c r="N41" i="5"/>
  <c r="M41" i="5"/>
  <c r="L41" i="5"/>
  <c r="N39" i="5"/>
  <c r="M39" i="5"/>
  <c r="L39" i="5"/>
  <c r="M37" i="5"/>
  <c r="L37" i="5"/>
  <c r="N33" i="5"/>
  <c r="M33" i="5"/>
  <c r="L33" i="5"/>
  <c r="N27" i="5"/>
  <c r="L27" i="5"/>
  <c r="N22" i="5"/>
  <c r="M22" i="5"/>
  <c r="M27" i="5"/>
  <c r="L22" i="5"/>
  <c r="Q33" i="4"/>
  <c r="R44" i="4"/>
  <c r="Q44" i="4"/>
  <c r="P44" i="4"/>
  <c r="R33" i="4"/>
  <c r="R38" i="4"/>
  <c r="Q38" i="4"/>
  <c r="P33" i="4"/>
  <c r="P38" i="4"/>
  <c r="R27" i="4"/>
  <c r="P27" i="4"/>
  <c r="P26" i="4"/>
  <c r="P23" i="4"/>
  <c r="P22" i="4"/>
  <c r="P21" i="4"/>
  <c r="R15" i="4"/>
  <c r="R26" i="4"/>
  <c r="Q15" i="4"/>
  <c r="Q26" i="4"/>
  <c r="P15" i="4"/>
  <c r="R7" i="4"/>
  <c r="Q7" i="4"/>
  <c r="P7" i="4"/>
  <c r="AI69" i="3"/>
  <c r="AI67" i="3"/>
  <c r="AK64" i="3"/>
  <c r="AK70" i="3"/>
  <c r="AJ64" i="3"/>
  <c r="AJ70" i="3"/>
  <c r="AI64" i="3"/>
  <c r="AI70" i="3"/>
  <c r="AJ26" i="3"/>
  <c r="AJ25" i="3"/>
  <c r="AK54" i="3"/>
  <c r="AJ54" i="3"/>
  <c r="AI54" i="3"/>
  <c r="AK52" i="3"/>
  <c r="AJ52" i="3"/>
  <c r="AI52" i="3"/>
  <c r="AK48" i="3"/>
  <c r="AJ48" i="3"/>
  <c r="AI48" i="3"/>
  <c r="AK46" i="3"/>
  <c r="AJ46" i="3"/>
  <c r="AI46" i="3"/>
  <c r="AK42" i="3"/>
  <c r="AJ42" i="3"/>
  <c r="AI42" i="3"/>
  <c r="AK28" i="3"/>
  <c r="AJ28" i="3"/>
  <c r="AI28" i="3"/>
  <c r="AK25" i="3"/>
  <c r="AI25" i="3"/>
  <c r="AN375" i="1"/>
  <c r="AN374" i="1"/>
  <c r="AN373" i="1"/>
  <c r="AN372" i="1"/>
  <c r="AM375" i="1"/>
  <c r="AM374" i="1"/>
  <c r="AO366" i="1"/>
  <c r="AO365" i="1"/>
  <c r="AO363" i="1"/>
  <c r="AO362" i="1"/>
  <c r="AO361" i="1"/>
  <c r="AO360" i="1"/>
  <c r="AN366" i="1"/>
  <c r="AN365" i="1"/>
  <c r="AN363" i="1"/>
  <c r="AN362" i="1"/>
  <c r="AN361" i="1"/>
  <c r="AN364" i="1"/>
  <c r="AN367" i="1"/>
  <c r="AN360" i="1"/>
  <c r="AM366" i="1"/>
  <c r="AM365" i="1"/>
  <c r="AM363" i="1"/>
  <c r="AM362" i="1"/>
  <c r="AM361" i="1"/>
  <c r="AM360" i="1"/>
  <c r="AM284" i="1"/>
  <c r="AN268" i="1"/>
  <c r="AM268" i="1"/>
  <c r="AM269" i="1"/>
  <c r="AO257" i="1"/>
  <c r="AN260" i="1"/>
  <c r="AM260" i="1"/>
  <c r="AO259" i="1"/>
  <c r="AN257" i="1"/>
  <c r="AM257" i="1"/>
  <c r="AM217" i="1"/>
  <c r="AM218" i="1"/>
  <c r="AN217" i="1"/>
  <c r="AO357" i="1"/>
  <c r="AO354" i="1"/>
  <c r="AN354" i="1"/>
  <c r="AN357" i="1"/>
  <c r="AM354" i="1"/>
  <c r="AM357" i="1"/>
  <c r="AO347" i="1"/>
  <c r="AO344" i="1"/>
  <c r="AN344" i="1"/>
  <c r="AN347" i="1"/>
  <c r="AM344" i="1"/>
  <c r="AM347" i="1"/>
  <c r="AN337" i="1"/>
  <c r="AO334" i="1"/>
  <c r="AO337" i="1"/>
  <c r="AN334" i="1"/>
  <c r="AM334" i="1"/>
  <c r="AM337" i="1"/>
  <c r="AO324" i="1"/>
  <c r="AO327" i="1"/>
  <c r="AN324" i="1"/>
  <c r="AN327" i="1"/>
  <c r="AM324" i="1"/>
  <c r="AM327" i="1"/>
  <c r="AO303" i="1"/>
  <c r="AN303" i="1"/>
  <c r="AM303" i="1"/>
  <c r="AO301" i="1"/>
  <c r="AN301" i="1"/>
  <c r="AM301" i="1"/>
  <c r="AO297" i="1"/>
  <c r="AN297" i="1"/>
  <c r="AM297" i="1"/>
  <c r="AO295" i="1"/>
  <c r="AN295" i="1"/>
  <c r="AM295" i="1"/>
  <c r="AO290" i="1"/>
  <c r="AN290" i="1"/>
  <c r="AM290" i="1"/>
  <c r="AO279" i="1"/>
  <c r="AO284" i="1"/>
  <c r="AN279" i="1"/>
  <c r="AN284" i="1"/>
  <c r="AM279" i="1"/>
  <c r="AO269" i="1"/>
  <c r="AN269" i="1"/>
  <c r="AO252" i="1"/>
  <c r="AN252" i="1"/>
  <c r="AM252" i="1"/>
  <c r="AO250" i="1"/>
  <c r="AN250" i="1"/>
  <c r="AM250" i="1"/>
  <c r="AO246" i="1"/>
  <c r="AN246" i="1"/>
  <c r="AO244" i="1"/>
  <c r="AN244" i="1"/>
  <c r="AM244" i="1"/>
  <c r="AO239" i="1"/>
  <c r="AN239" i="1"/>
  <c r="AM239" i="1"/>
  <c r="AO228" i="1"/>
  <c r="AO233" i="1"/>
  <c r="AN228" i="1"/>
  <c r="AN233" i="1"/>
  <c r="AM228" i="1"/>
  <c r="AM233" i="1"/>
  <c r="AO218" i="1"/>
  <c r="AN218" i="1"/>
  <c r="AO210" i="1"/>
  <c r="AN210" i="1"/>
  <c r="AM210" i="1"/>
  <c r="AO201" i="1"/>
  <c r="AN201" i="1"/>
  <c r="AM201" i="1"/>
  <c r="AO199" i="1"/>
  <c r="AN199" i="1"/>
  <c r="AM199" i="1"/>
  <c r="AO195" i="1"/>
  <c r="AN195" i="1"/>
  <c r="AM195" i="1"/>
  <c r="AO193" i="1"/>
  <c r="AN193" i="1"/>
  <c r="AM193" i="1"/>
  <c r="AO188" i="1"/>
  <c r="AN188" i="1"/>
  <c r="AM188" i="1"/>
  <c r="AO177" i="1"/>
  <c r="AO182" i="1"/>
  <c r="AN177" i="1"/>
  <c r="AN182" i="1"/>
  <c r="AM177" i="1"/>
  <c r="AM182" i="1"/>
  <c r="AO167" i="1"/>
  <c r="AN167" i="1"/>
  <c r="AM167" i="1"/>
  <c r="AO159" i="1"/>
  <c r="AN159" i="1"/>
  <c r="AM159" i="1"/>
  <c r="AO150" i="1"/>
  <c r="AN150" i="1"/>
  <c r="AM150" i="1"/>
  <c r="AO148" i="1"/>
  <c r="AN148" i="1"/>
  <c r="AM148" i="1"/>
  <c r="AO144" i="1"/>
  <c r="AN144" i="1"/>
  <c r="AM144" i="1"/>
  <c r="AO142" i="1"/>
  <c r="AN142" i="1"/>
  <c r="AM142" i="1"/>
  <c r="AO137" i="1"/>
  <c r="AN137" i="1"/>
  <c r="AM137" i="1"/>
  <c r="AO126" i="1"/>
  <c r="AO131" i="1"/>
  <c r="AN126" i="1"/>
  <c r="AN131" i="1"/>
  <c r="AM126" i="1"/>
  <c r="AM131" i="1"/>
  <c r="AN120" i="1"/>
  <c r="AM120" i="1"/>
  <c r="AO116" i="1"/>
  <c r="AN116" i="1"/>
  <c r="AM116" i="1"/>
  <c r="AO112" i="1"/>
  <c r="AN112" i="1"/>
  <c r="AM112" i="1"/>
  <c r="AO108" i="1"/>
  <c r="AO120" i="1"/>
  <c r="AN108" i="1"/>
  <c r="AM108" i="1"/>
  <c r="AO100" i="1"/>
  <c r="AN100" i="1"/>
  <c r="AO98" i="1"/>
  <c r="AN98" i="1"/>
  <c r="AO94" i="1"/>
  <c r="AN94" i="1"/>
  <c r="AM94" i="1"/>
  <c r="AO92" i="1"/>
  <c r="AN92" i="1"/>
  <c r="AM92" i="1"/>
  <c r="AO87" i="1"/>
  <c r="AN87" i="1"/>
  <c r="AM87" i="1"/>
  <c r="AO76" i="1"/>
  <c r="AO81" i="1"/>
  <c r="AN76" i="1"/>
  <c r="AN81" i="1"/>
  <c r="AM76" i="1"/>
  <c r="AM81" i="1"/>
  <c r="AN70" i="1"/>
  <c r="AM70" i="1"/>
  <c r="AO66" i="1"/>
  <c r="AN66" i="1"/>
  <c r="AM66" i="1"/>
  <c r="AO62" i="1"/>
  <c r="AN62" i="1"/>
  <c r="AM62" i="1"/>
  <c r="AO58" i="1"/>
  <c r="AO70" i="1"/>
  <c r="AN58" i="1"/>
  <c r="AM58" i="1"/>
  <c r="CS260" i="2"/>
  <c r="CS164" i="2"/>
  <c r="CR164" i="2"/>
  <c r="CS62" i="2"/>
  <c r="CS58" i="2"/>
  <c r="CT30" i="2"/>
  <c r="CT35" i="2"/>
  <c r="CS30" i="2"/>
  <c r="CS35" i="2"/>
  <c r="CT305" i="2"/>
  <c r="CS305" i="2"/>
  <c r="CR305" i="2"/>
  <c r="CT300" i="2"/>
  <c r="CS300" i="2"/>
  <c r="CR300" i="2"/>
  <c r="CT298" i="2"/>
  <c r="CS298" i="2"/>
  <c r="CR298" i="2"/>
  <c r="CT292" i="2"/>
  <c r="CS292" i="2"/>
  <c r="CR292" i="2"/>
  <c r="CT290" i="2"/>
  <c r="CS290" i="2"/>
  <c r="CR290" i="2"/>
  <c r="CT283" i="2"/>
  <c r="CS283" i="2"/>
  <c r="CR283" i="2"/>
  <c r="CT282" i="2"/>
  <c r="CS282" i="2"/>
  <c r="CR282" i="2"/>
  <c r="CT278" i="2"/>
  <c r="CS278" i="2"/>
  <c r="CR278" i="2"/>
  <c r="CT277" i="2"/>
  <c r="CS277" i="2"/>
  <c r="CR277" i="2"/>
  <c r="CT276" i="2"/>
  <c r="CS276" i="2"/>
  <c r="CR276" i="2"/>
  <c r="CT269" i="2"/>
  <c r="CS269" i="2"/>
  <c r="CR269" i="2"/>
  <c r="CT268" i="2"/>
  <c r="CS268" i="2"/>
  <c r="CR268" i="2"/>
  <c r="CT261" i="2"/>
  <c r="CS261" i="2"/>
  <c r="CR261" i="2"/>
  <c r="CT260" i="2"/>
  <c r="CR260" i="2"/>
  <c r="CT258" i="2"/>
  <c r="CS258" i="2"/>
  <c r="CR258" i="2"/>
  <c r="CT257" i="2"/>
  <c r="CS257" i="2"/>
  <c r="CR257" i="2"/>
  <c r="CT252" i="2"/>
  <c r="CS252" i="2"/>
  <c r="CR252" i="2"/>
  <c r="CT250" i="2"/>
  <c r="CS250" i="2"/>
  <c r="CR250" i="2"/>
  <c r="CT244" i="2"/>
  <c r="CS244" i="2"/>
  <c r="CR244" i="2"/>
  <c r="CT242" i="2"/>
  <c r="CS242" i="2"/>
  <c r="CR242" i="2"/>
  <c r="CS238" i="2"/>
  <c r="CT233" i="2"/>
  <c r="CT238" i="2"/>
  <c r="CS233" i="2"/>
  <c r="CR233" i="2"/>
  <c r="CR238" i="2"/>
  <c r="CT228" i="2"/>
  <c r="CS228" i="2"/>
  <c r="CR228" i="2"/>
  <c r="CT223" i="2"/>
  <c r="CS223" i="2"/>
  <c r="CR223" i="2"/>
  <c r="CT219" i="2"/>
  <c r="CS219" i="2"/>
  <c r="CS215" i="2"/>
  <c r="CR219" i="2"/>
  <c r="CR215" i="2"/>
  <c r="CT215" i="2"/>
  <c r="CT211" i="2"/>
  <c r="CS211" i="2"/>
  <c r="CR211" i="2"/>
  <c r="CT201" i="2"/>
  <c r="CS201" i="2"/>
  <c r="CR201" i="2"/>
  <c r="CT199" i="2"/>
  <c r="CS199" i="2"/>
  <c r="CR199" i="2"/>
  <c r="CT193" i="2"/>
  <c r="CS193" i="2"/>
  <c r="CR193" i="2"/>
  <c r="CT191" i="2"/>
  <c r="CS191" i="2"/>
  <c r="CR191" i="2"/>
  <c r="CT182" i="2"/>
  <c r="CT187" i="2"/>
  <c r="CS182" i="2"/>
  <c r="CS187" i="2"/>
  <c r="CR182" i="2"/>
  <c r="CR187" i="2"/>
  <c r="CT177" i="2"/>
  <c r="CS177" i="2"/>
  <c r="CR177" i="2"/>
  <c r="CT172" i="2"/>
  <c r="CS172" i="2"/>
  <c r="CR172" i="2"/>
  <c r="CT168" i="2"/>
  <c r="CT164" i="2"/>
  <c r="CS168" i="2"/>
  <c r="CR168" i="2"/>
  <c r="CT160" i="2"/>
  <c r="CS160" i="2"/>
  <c r="CR160" i="2"/>
  <c r="CT150" i="2"/>
  <c r="CS150" i="2"/>
  <c r="CR150" i="2"/>
  <c r="CT148" i="2"/>
  <c r="CS148" i="2"/>
  <c r="CR148" i="2"/>
  <c r="CT142" i="2"/>
  <c r="CS142" i="2"/>
  <c r="CR142" i="2"/>
  <c r="CT140" i="2"/>
  <c r="CS140" i="2"/>
  <c r="CR140" i="2"/>
  <c r="CT131" i="2"/>
  <c r="CT136" i="2"/>
  <c r="CS131" i="2"/>
  <c r="CS136" i="2"/>
  <c r="CR131" i="2"/>
  <c r="CR136" i="2"/>
  <c r="CT126" i="2"/>
  <c r="CS126" i="2"/>
  <c r="CR126" i="2"/>
  <c r="CT117" i="2"/>
  <c r="CS117" i="2"/>
  <c r="CR117" i="2"/>
  <c r="CT109" i="2"/>
  <c r="CS109" i="2"/>
  <c r="CS113" i="2"/>
  <c r="CR109" i="2"/>
  <c r="CT99" i="2"/>
  <c r="CS99" i="2"/>
  <c r="CR99" i="2"/>
  <c r="CT97" i="2"/>
  <c r="CS97" i="2"/>
  <c r="CR97" i="2"/>
  <c r="CT91" i="2"/>
  <c r="CS91" i="2"/>
  <c r="CR91" i="2"/>
  <c r="CT89" i="2"/>
  <c r="CS89" i="2"/>
  <c r="CR89" i="2"/>
  <c r="CR85" i="2"/>
  <c r="CT80" i="2"/>
  <c r="CT85" i="2"/>
  <c r="CS80" i="2"/>
  <c r="CS85" i="2"/>
  <c r="CR80" i="2"/>
  <c r="CT75" i="2"/>
  <c r="CS75" i="2"/>
  <c r="CR75" i="2"/>
  <c r="CT66" i="2"/>
  <c r="CS66" i="2"/>
  <c r="CR66" i="2"/>
  <c r="CT58" i="2"/>
  <c r="CR58" i="2"/>
  <c r="CT25" i="2"/>
  <c r="CS25" i="2"/>
  <c r="CR25" i="2"/>
  <c r="CT16" i="2"/>
  <c r="CS16" i="2"/>
  <c r="CR16" i="2"/>
  <c r="CR12" i="2"/>
  <c r="CT8" i="2"/>
  <c r="CS8" i="2"/>
  <c r="CR8" i="2"/>
  <c r="CT49" i="2"/>
  <c r="CS49" i="2"/>
  <c r="CR49" i="2"/>
  <c r="CT47" i="2"/>
  <c r="CS47" i="2"/>
  <c r="CR47" i="2"/>
  <c r="CT41" i="2"/>
  <c r="CS41" i="2"/>
  <c r="CR41" i="2"/>
  <c r="J38" i="6"/>
  <c r="I38" i="6"/>
  <c r="H38" i="6"/>
  <c r="J26" i="6"/>
  <c r="J31" i="6"/>
  <c r="I26" i="6"/>
  <c r="I31" i="6"/>
  <c r="H26" i="6"/>
  <c r="H31" i="6"/>
  <c r="CT39" i="2"/>
  <c r="CS39" i="2"/>
  <c r="CR39" i="2"/>
  <c r="CR35" i="2"/>
  <c r="CR30" i="2"/>
  <c r="AL268" i="1"/>
  <c r="AL217" i="1"/>
  <c r="CQ58" i="2"/>
  <c r="G38" i="6"/>
  <c r="F38" i="6"/>
  <c r="E38" i="6"/>
  <c r="D38" i="6"/>
  <c r="C38" i="6"/>
  <c r="K37" i="5"/>
  <c r="G26" i="6"/>
  <c r="G31" i="6"/>
  <c r="K41" i="5"/>
  <c r="K39" i="5"/>
  <c r="K33" i="5"/>
  <c r="K22" i="5"/>
  <c r="K27" i="5"/>
  <c r="O50" i="4"/>
  <c r="O48" i="4"/>
  <c r="O44" i="4"/>
  <c r="O33" i="4"/>
  <c r="O38" i="4"/>
  <c r="O15" i="4"/>
  <c r="O27" i="4"/>
  <c r="O7" i="4"/>
  <c r="O22" i="4"/>
  <c r="AH64" i="3"/>
  <c r="AH67" i="3"/>
  <c r="AH54" i="3"/>
  <c r="AH52" i="3"/>
  <c r="AH48" i="3"/>
  <c r="AH46" i="3"/>
  <c r="AH42" i="3"/>
  <c r="AH28" i="3"/>
  <c r="AH25" i="3"/>
  <c r="AL210" i="1"/>
  <c r="AL159" i="1"/>
  <c r="AL366" i="1"/>
  <c r="AL365" i="1"/>
  <c r="AL363" i="1"/>
  <c r="AL362" i="1"/>
  <c r="AL361" i="1"/>
  <c r="AL360" i="1"/>
  <c r="AL354" i="1"/>
  <c r="AL357" i="1"/>
  <c r="AL344" i="1"/>
  <c r="AL347" i="1"/>
  <c r="AL334" i="1"/>
  <c r="AL337" i="1"/>
  <c r="AL324" i="1"/>
  <c r="AL327" i="1"/>
  <c r="AL303" i="1"/>
  <c r="AL301" i="1"/>
  <c r="AL297" i="1"/>
  <c r="AL295" i="1"/>
  <c r="AL290" i="1"/>
  <c r="AL279" i="1"/>
  <c r="AL284" i="1"/>
  <c r="AL269" i="1"/>
  <c r="AL260" i="1"/>
  <c r="AL259" i="1"/>
  <c r="AL252" i="1"/>
  <c r="AL250" i="1"/>
  <c r="AL246" i="1"/>
  <c r="AL244" i="1"/>
  <c r="AL239" i="1"/>
  <c r="AL228" i="1"/>
  <c r="AL233" i="1"/>
  <c r="AL218" i="1"/>
  <c r="AL201" i="1"/>
  <c r="AL199" i="1"/>
  <c r="AL195" i="1"/>
  <c r="AL193" i="1"/>
  <c r="AL188" i="1"/>
  <c r="AL177" i="1"/>
  <c r="AL182" i="1"/>
  <c r="AL167" i="1"/>
  <c r="AL150" i="1"/>
  <c r="AL148" i="1"/>
  <c r="AL144" i="1"/>
  <c r="AL142" i="1"/>
  <c r="AL137" i="1"/>
  <c r="AL126" i="1"/>
  <c r="AL131" i="1"/>
  <c r="AL116" i="1"/>
  <c r="AL112" i="1"/>
  <c r="AL108" i="1"/>
  <c r="AL120" i="1"/>
  <c r="AL100" i="1"/>
  <c r="AL98" i="1"/>
  <c r="AL94" i="1"/>
  <c r="AL92" i="1"/>
  <c r="AL87" i="1"/>
  <c r="AL76" i="1"/>
  <c r="AL81" i="1"/>
  <c r="AL66" i="1"/>
  <c r="AL62" i="1"/>
  <c r="AL58" i="1"/>
  <c r="AL70" i="1"/>
  <c r="AL257" i="1"/>
  <c r="CQ261" i="2"/>
  <c r="CQ49" i="2"/>
  <c r="CQ305" i="2"/>
  <c r="CQ300" i="2"/>
  <c r="CQ298" i="2"/>
  <c r="CQ292" i="2"/>
  <c r="CQ290" i="2"/>
  <c r="CQ283" i="2"/>
  <c r="CQ282" i="2"/>
  <c r="CQ278" i="2"/>
  <c r="CQ277" i="2"/>
  <c r="CQ276" i="2"/>
  <c r="CQ269" i="2"/>
  <c r="CQ268" i="2"/>
  <c r="CQ260" i="2"/>
  <c r="CQ258" i="2"/>
  <c r="CQ252" i="2"/>
  <c r="CQ250" i="2"/>
  <c r="CQ244" i="2"/>
  <c r="CQ242" i="2"/>
  <c r="CQ233" i="2"/>
  <c r="CQ238" i="2"/>
  <c r="CQ228" i="2"/>
  <c r="CQ223" i="2"/>
  <c r="CQ219" i="2"/>
  <c r="CQ215" i="2"/>
  <c r="CQ211" i="2"/>
  <c r="CQ201" i="2"/>
  <c r="CQ199" i="2"/>
  <c r="CQ193" i="2"/>
  <c r="CQ191" i="2"/>
  <c r="CQ182" i="2"/>
  <c r="CQ187" i="2"/>
  <c r="CQ177" i="2"/>
  <c r="CQ172" i="2"/>
  <c r="CQ168" i="2"/>
  <c r="CQ160" i="2"/>
  <c r="CQ150" i="2"/>
  <c r="CQ148" i="2"/>
  <c r="CQ142" i="2"/>
  <c r="CQ140" i="2"/>
  <c r="CQ131" i="2"/>
  <c r="CQ136" i="2"/>
  <c r="CQ126" i="2"/>
  <c r="CQ117" i="2"/>
  <c r="CQ109" i="2"/>
  <c r="CQ99" i="2"/>
  <c r="CQ97" i="2"/>
  <c r="CQ91" i="2"/>
  <c r="CQ89" i="2"/>
  <c r="CQ80" i="2"/>
  <c r="CQ85" i="2"/>
  <c r="CQ75" i="2"/>
  <c r="CQ66" i="2"/>
  <c r="CQ47" i="2"/>
  <c r="CQ41" i="2"/>
  <c r="CQ39" i="2"/>
  <c r="CQ30" i="2"/>
  <c r="CQ35" i="2"/>
  <c r="CQ25" i="2"/>
  <c r="CQ16" i="2"/>
  <c r="CQ8" i="2"/>
  <c r="CQ257" i="2"/>
  <c r="CQ262" i="2"/>
  <c r="CQ113" i="2"/>
  <c r="AH69" i="3"/>
  <c r="AH70" i="3"/>
  <c r="CQ12" i="2"/>
  <c r="O21" i="4"/>
  <c r="O23" i="4"/>
  <c r="O26" i="4"/>
  <c r="O28" i="4"/>
  <c r="AH31" i="3"/>
  <c r="AH36" i="3"/>
  <c r="AL364" i="1"/>
  <c r="AL261" i="1"/>
  <c r="CQ62" i="2"/>
  <c r="CQ284" i="2"/>
  <c r="CQ265" i="2"/>
  <c r="AH73" i="3"/>
  <c r="AL367" i="1"/>
  <c r="AL375" i="1"/>
  <c r="AL374" i="1"/>
  <c r="AL373" i="1"/>
  <c r="AL372" i="1"/>
  <c r="AL376" i="1"/>
  <c r="AK289" i="1"/>
  <c r="AK268" i="1"/>
  <c r="AK217" i="1"/>
  <c r="CP261" i="2"/>
  <c r="CP109" i="2"/>
  <c r="CO109" i="2"/>
  <c r="AJ268" i="1"/>
  <c r="AJ260" i="1"/>
  <c r="AJ217" i="1"/>
  <c r="AI268" i="1"/>
  <c r="AI259" i="1"/>
  <c r="AI217" i="1"/>
  <c r="CN261" i="2"/>
  <c r="CN58" i="2"/>
  <c r="AE54" i="3"/>
  <c r="CM283" i="2"/>
  <c r="CM282" i="2"/>
  <c r="D26" i="6"/>
  <c r="D31" i="6"/>
  <c r="C26" i="6"/>
  <c r="C31" i="6"/>
  <c r="F26" i="6"/>
  <c r="F31" i="6"/>
  <c r="E26" i="6"/>
  <c r="E31" i="6"/>
  <c r="CM284" i="2"/>
  <c r="AH303" i="1"/>
  <c r="AH268" i="1"/>
  <c r="AH210" i="1"/>
  <c r="AH217" i="1"/>
  <c r="AH159" i="1"/>
  <c r="AH155" i="1"/>
  <c r="AH206" i="1"/>
  <c r="AH4" i="1"/>
  <c r="CM300" i="2"/>
  <c r="CM261" i="2"/>
  <c r="CM3" i="2"/>
  <c r="G39" i="5"/>
  <c r="H39" i="5"/>
  <c r="I39" i="5"/>
  <c r="J39" i="5"/>
  <c r="J41" i="5"/>
  <c r="I41" i="5"/>
  <c r="H41" i="5"/>
  <c r="G41" i="5"/>
  <c r="J37" i="5"/>
  <c r="I37" i="5"/>
  <c r="H37" i="5"/>
  <c r="G37" i="5"/>
  <c r="J33" i="5"/>
  <c r="I33" i="5"/>
  <c r="H33" i="5"/>
  <c r="G33" i="5"/>
  <c r="J22" i="5"/>
  <c r="J27" i="5"/>
  <c r="I22" i="5"/>
  <c r="I27" i="5"/>
  <c r="H22" i="5"/>
  <c r="H27" i="5"/>
  <c r="G22" i="5"/>
  <c r="G27" i="5"/>
  <c r="K50" i="4"/>
  <c r="K48" i="4"/>
  <c r="L15" i="4"/>
  <c r="L27" i="4"/>
  <c r="K15" i="4"/>
  <c r="K27" i="4"/>
  <c r="L7" i="4"/>
  <c r="L21" i="4"/>
  <c r="K7" i="4"/>
  <c r="K22" i="4"/>
  <c r="N50" i="4"/>
  <c r="M50" i="4"/>
  <c r="L50" i="4"/>
  <c r="N48" i="4"/>
  <c r="M48" i="4"/>
  <c r="L48" i="4"/>
  <c r="N44" i="4"/>
  <c r="M44" i="4"/>
  <c r="L44" i="4"/>
  <c r="K44" i="4"/>
  <c r="N33" i="4"/>
  <c r="N38" i="4"/>
  <c r="M33" i="4"/>
  <c r="M38" i="4"/>
  <c r="L33" i="4"/>
  <c r="L38" i="4"/>
  <c r="K33" i="4"/>
  <c r="K38" i="4"/>
  <c r="M22" i="4"/>
  <c r="L22" i="4"/>
  <c r="M21" i="4"/>
  <c r="N15" i="4"/>
  <c r="N26" i="4"/>
  <c r="M27" i="4"/>
  <c r="N7" i="4"/>
  <c r="N22" i="4"/>
  <c r="AG64" i="3"/>
  <c r="AG67" i="3"/>
  <c r="AF64" i="3"/>
  <c r="AF67" i="3"/>
  <c r="AE64" i="3"/>
  <c r="AE67" i="3"/>
  <c r="AD64" i="3"/>
  <c r="AD67" i="3"/>
  <c r="AF54" i="3"/>
  <c r="AD54" i="3"/>
  <c r="AG52" i="3"/>
  <c r="AF52" i="3"/>
  <c r="AE52" i="3"/>
  <c r="AD52" i="3"/>
  <c r="AG48" i="3"/>
  <c r="AF48" i="3"/>
  <c r="AE48" i="3"/>
  <c r="AD48" i="3"/>
  <c r="AG46" i="3"/>
  <c r="AF46" i="3"/>
  <c r="AE46" i="3"/>
  <c r="AD46" i="3"/>
  <c r="AG42" i="3"/>
  <c r="AF42" i="3"/>
  <c r="AE42" i="3"/>
  <c r="AD42" i="3"/>
  <c r="AG28" i="3"/>
  <c r="AF28" i="3"/>
  <c r="AE28" i="3"/>
  <c r="AD28" i="3"/>
  <c r="AD31" i="3"/>
  <c r="AD36" i="3"/>
  <c r="AE25" i="3"/>
  <c r="AG25" i="3"/>
  <c r="AF25" i="3"/>
  <c r="AD25" i="3"/>
  <c r="AJ259" i="1"/>
  <c r="AI260" i="1"/>
  <c r="AH260" i="1"/>
  <c r="AK195" i="1"/>
  <c r="AI159" i="1"/>
  <c r="AK366" i="1"/>
  <c r="AJ366" i="1"/>
  <c r="AI366" i="1"/>
  <c r="AH366" i="1"/>
  <c r="AK365" i="1"/>
  <c r="AJ365" i="1"/>
  <c r="AI365" i="1"/>
  <c r="AH365" i="1"/>
  <c r="AK363" i="1"/>
  <c r="AJ363" i="1"/>
  <c r="AI363" i="1"/>
  <c r="AH363" i="1"/>
  <c r="AK362" i="1"/>
  <c r="AJ362" i="1"/>
  <c r="AI362" i="1"/>
  <c r="AH362" i="1"/>
  <c r="AK361" i="1"/>
  <c r="AJ361" i="1"/>
  <c r="AI361" i="1"/>
  <c r="AH361" i="1"/>
  <c r="AK360" i="1"/>
  <c r="AJ360" i="1"/>
  <c r="AI360" i="1"/>
  <c r="AH360" i="1"/>
  <c r="AK354" i="1"/>
  <c r="AK357" i="1"/>
  <c r="AJ354" i="1"/>
  <c r="AI354" i="1"/>
  <c r="AH354" i="1"/>
  <c r="AK344" i="1"/>
  <c r="AK347" i="1"/>
  <c r="AJ344" i="1"/>
  <c r="AI344" i="1"/>
  <c r="AH344" i="1"/>
  <c r="AK334" i="1"/>
  <c r="AK337" i="1"/>
  <c r="AJ334" i="1"/>
  <c r="AI334" i="1"/>
  <c r="AH334" i="1"/>
  <c r="AK324" i="1"/>
  <c r="AK327" i="1"/>
  <c r="AJ324" i="1"/>
  <c r="AI324" i="1"/>
  <c r="AH324" i="1"/>
  <c r="AK314" i="1"/>
  <c r="AK317" i="1"/>
  <c r="AJ314" i="1"/>
  <c r="AI314" i="1"/>
  <c r="AH314" i="1"/>
  <c r="AK303" i="1"/>
  <c r="AJ303" i="1"/>
  <c r="AI303" i="1"/>
  <c r="AK301" i="1"/>
  <c r="AJ301" i="1"/>
  <c r="AI301" i="1"/>
  <c r="AH301" i="1"/>
  <c r="AK297" i="1"/>
  <c r="AJ297" i="1"/>
  <c r="AI297" i="1"/>
  <c r="AH297" i="1"/>
  <c r="AK295" i="1"/>
  <c r="AJ295" i="1"/>
  <c r="AI295" i="1"/>
  <c r="AH295" i="1"/>
  <c r="AK290" i="1"/>
  <c r="AJ290" i="1"/>
  <c r="AI290" i="1"/>
  <c r="AH290" i="1"/>
  <c r="AK279" i="1"/>
  <c r="AK284" i="1"/>
  <c r="AJ279" i="1"/>
  <c r="AI279" i="1"/>
  <c r="AH279" i="1"/>
  <c r="AK269" i="1"/>
  <c r="AJ269" i="1"/>
  <c r="AI269" i="1"/>
  <c r="AH269" i="1"/>
  <c r="AK260" i="1"/>
  <c r="AK259" i="1"/>
  <c r="AH259" i="1"/>
  <c r="AK257" i="1"/>
  <c r="AJ257" i="1"/>
  <c r="AI257" i="1"/>
  <c r="AH257" i="1"/>
  <c r="AK252" i="1"/>
  <c r="AJ252" i="1"/>
  <c r="AI252" i="1"/>
  <c r="AH252" i="1"/>
  <c r="AK250" i="1"/>
  <c r="AJ250" i="1"/>
  <c r="AI250" i="1"/>
  <c r="AH250" i="1"/>
  <c r="AK246" i="1"/>
  <c r="AJ246" i="1"/>
  <c r="AI246" i="1"/>
  <c r="AH246" i="1"/>
  <c r="AK244" i="1"/>
  <c r="AJ244" i="1"/>
  <c r="AI244" i="1"/>
  <c r="AH244" i="1"/>
  <c r="AK239" i="1"/>
  <c r="AJ239" i="1"/>
  <c r="AI239" i="1"/>
  <c r="AH239" i="1"/>
  <c r="AK228" i="1"/>
  <c r="AK233" i="1"/>
  <c r="AJ228" i="1"/>
  <c r="AI228" i="1"/>
  <c r="AH228" i="1"/>
  <c r="AI218" i="1"/>
  <c r="AH218" i="1"/>
  <c r="AK218" i="1"/>
  <c r="AJ218" i="1"/>
  <c r="AK210" i="1"/>
  <c r="AJ210" i="1"/>
  <c r="AI210" i="1"/>
  <c r="AK201" i="1"/>
  <c r="AJ201" i="1"/>
  <c r="AI201" i="1"/>
  <c r="AH201" i="1"/>
  <c r="AK199" i="1"/>
  <c r="AJ199" i="1"/>
  <c r="AI199" i="1"/>
  <c r="AH199" i="1"/>
  <c r="AJ195" i="1"/>
  <c r="AI195" i="1"/>
  <c r="AH195" i="1"/>
  <c r="AK193" i="1"/>
  <c r="AJ193" i="1"/>
  <c r="AI193" i="1"/>
  <c r="AH193" i="1"/>
  <c r="AK188" i="1"/>
  <c r="AJ188" i="1"/>
  <c r="AI188" i="1"/>
  <c r="AH188" i="1"/>
  <c r="AK177" i="1"/>
  <c r="AK182" i="1"/>
  <c r="AJ177" i="1"/>
  <c r="AI177" i="1"/>
  <c r="AH177" i="1"/>
  <c r="AK167" i="1"/>
  <c r="AJ167" i="1"/>
  <c r="AI167" i="1"/>
  <c r="AH167" i="1"/>
  <c r="AK159" i="1"/>
  <c r="AJ159" i="1"/>
  <c r="AK150" i="1"/>
  <c r="AJ150" i="1"/>
  <c r="AI150" i="1"/>
  <c r="AH150" i="1"/>
  <c r="AK148" i="1"/>
  <c r="AJ148" i="1"/>
  <c r="AI148" i="1"/>
  <c r="AH148" i="1"/>
  <c r="AK144" i="1"/>
  <c r="AJ144" i="1"/>
  <c r="AI144" i="1"/>
  <c r="AH144" i="1"/>
  <c r="AK142" i="1"/>
  <c r="AJ142" i="1"/>
  <c r="AI142" i="1"/>
  <c r="AH142" i="1"/>
  <c r="AK137" i="1"/>
  <c r="AJ137" i="1"/>
  <c r="AI137" i="1"/>
  <c r="AH137" i="1"/>
  <c r="AK126" i="1"/>
  <c r="AK131" i="1"/>
  <c r="AJ126" i="1"/>
  <c r="AI126" i="1"/>
  <c r="AH126" i="1"/>
  <c r="AK116" i="1"/>
  <c r="AJ116" i="1"/>
  <c r="AI116" i="1"/>
  <c r="AH116" i="1"/>
  <c r="AK112" i="1"/>
  <c r="AJ112" i="1"/>
  <c r="AI112" i="1"/>
  <c r="AH112" i="1"/>
  <c r="AK108" i="1"/>
  <c r="AK120" i="1"/>
  <c r="AJ108" i="1"/>
  <c r="AI108" i="1"/>
  <c r="AH108" i="1"/>
  <c r="AK100" i="1"/>
  <c r="AJ100" i="1"/>
  <c r="AI100" i="1"/>
  <c r="AH100" i="1"/>
  <c r="AK98" i="1"/>
  <c r="AJ98" i="1"/>
  <c r="AI98" i="1"/>
  <c r="AH98" i="1"/>
  <c r="AK94" i="1"/>
  <c r="AJ94" i="1"/>
  <c r="AI94" i="1"/>
  <c r="AH94" i="1"/>
  <c r="AK92" i="1"/>
  <c r="AJ92" i="1"/>
  <c r="AI92" i="1"/>
  <c r="AH92" i="1"/>
  <c r="AK87" i="1"/>
  <c r="AJ87" i="1"/>
  <c r="AI87" i="1"/>
  <c r="AH87" i="1"/>
  <c r="AK76" i="1"/>
  <c r="AK81" i="1"/>
  <c r="AJ76" i="1"/>
  <c r="AI76" i="1"/>
  <c r="AH76" i="1"/>
  <c r="AK66" i="1"/>
  <c r="AJ66" i="1"/>
  <c r="AI66" i="1"/>
  <c r="AH66" i="1"/>
  <c r="AK62" i="1"/>
  <c r="AJ62" i="1"/>
  <c r="AI62" i="1"/>
  <c r="AH62" i="1"/>
  <c r="AK58" i="1"/>
  <c r="AK70" i="1"/>
  <c r="AJ58" i="1"/>
  <c r="AI58" i="1"/>
  <c r="AH58" i="1"/>
  <c r="AK50" i="1"/>
  <c r="AJ50" i="1"/>
  <c r="AI50" i="1"/>
  <c r="AH50" i="1"/>
  <c r="AK48" i="1"/>
  <c r="AJ48" i="1"/>
  <c r="AI48" i="1"/>
  <c r="AH48" i="1"/>
  <c r="AK44" i="1"/>
  <c r="AJ44" i="1"/>
  <c r="AI44" i="1"/>
  <c r="AH44" i="1"/>
  <c r="AK42" i="1"/>
  <c r="AJ42" i="1"/>
  <c r="AI42" i="1"/>
  <c r="AH42" i="1"/>
  <c r="AK37" i="1"/>
  <c r="AJ37" i="1"/>
  <c r="AI37" i="1"/>
  <c r="AH37" i="1"/>
  <c r="AK26" i="1"/>
  <c r="AK31" i="1"/>
  <c r="AJ26" i="1"/>
  <c r="AI26" i="1"/>
  <c r="AH26" i="1"/>
  <c r="AK16" i="1"/>
  <c r="AJ16" i="1"/>
  <c r="AI16" i="1"/>
  <c r="AH16" i="1"/>
  <c r="AK12" i="1"/>
  <c r="AJ12" i="1"/>
  <c r="AI12" i="1"/>
  <c r="AH12" i="1"/>
  <c r="AK8" i="1"/>
  <c r="AK20" i="1"/>
  <c r="AJ8" i="1"/>
  <c r="AI8" i="1"/>
  <c r="AH8" i="1"/>
  <c r="CP305" i="2"/>
  <c r="CO305" i="2"/>
  <c r="CN305" i="2"/>
  <c r="CM305" i="2"/>
  <c r="CP300" i="2"/>
  <c r="CO300" i="2"/>
  <c r="CN300" i="2"/>
  <c r="CP298" i="2"/>
  <c r="CO298" i="2"/>
  <c r="CN298" i="2"/>
  <c r="CM298" i="2"/>
  <c r="CP292" i="2"/>
  <c r="CO292" i="2"/>
  <c r="CN292" i="2"/>
  <c r="CM292" i="2"/>
  <c r="CP290" i="2"/>
  <c r="CO290" i="2"/>
  <c r="CN290" i="2"/>
  <c r="CM290" i="2"/>
  <c r="CP283" i="2"/>
  <c r="CO283" i="2"/>
  <c r="CN283" i="2"/>
  <c r="CP282" i="2"/>
  <c r="CO282" i="2"/>
  <c r="CN282" i="2"/>
  <c r="CP278" i="2"/>
  <c r="CO278" i="2"/>
  <c r="CN278" i="2"/>
  <c r="CM278" i="2"/>
  <c r="CP277" i="2"/>
  <c r="CO277" i="2"/>
  <c r="CN277" i="2"/>
  <c r="CM277" i="2"/>
  <c r="CP276" i="2"/>
  <c r="CO276" i="2"/>
  <c r="CO279" i="2"/>
  <c r="CO286" i="2"/>
  <c r="CN276" i="2"/>
  <c r="CN279" i="2"/>
  <c r="CN286" i="2"/>
  <c r="CM276" i="2"/>
  <c r="CP269" i="2"/>
  <c r="CO269" i="2"/>
  <c r="CN269" i="2"/>
  <c r="CM269" i="2"/>
  <c r="CP268" i="2"/>
  <c r="CO268" i="2"/>
  <c r="CN268" i="2"/>
  <c r="CM268" i="2"/>
  <c r="CP260" i="2"/>
  <c r="CO261" i="2"/>
  <c r="CM260" i="2"/>
  <c r="CO260" i="2"/>
  <c r="CN260" i="2"/>
  <c r="CP258" i="2"/>
  <c r="CO258" i="2"/>
  <c r="CN258" i="2"/>
  <c r="CM258" i="2"/>
  <c r="CP257" i="2"/>
  <c r="CO257" i="2"/>
  <c r="CN257" i="2"/>
  <c r="CM257" i="2"/>
  <c r="CP252" i="2"/>
  <c r="CO252" i="2"/>
  <c r="CN252" i="2"/>
  <c r="CM252" i="2"/>
  <c r="CP250" i="2"/>
  <c r="CO250" i="2"/>
  <c r="CN250" i="2"/>
  <c r="CM250" i="2"/>
  <c r="CP244" i="2"/>
  <c r="CO244" i="2"/>
  <c r="CN244" i="2"/>
  <c r="CM244" i="2"/>
  <c r="CP242" i="2"/>
  <c r="CO242" i="2"/>
  <c r="CN242" i="2"/>
  <c r="CM242" i="2"/>
  <c r="CP233" i="2"/>
  <c r="CP238" i="2"/>
  <c r="CO233" i="2"/>
  <c r="CN233" i="2"/>
  <c r="CM233" i="2"/>
  <c r="CM238" i="2"/>
  <c r="CP228" i="2"/>
  <c r="CO228" i="2"/>
  <c r="CN228" i="2"/>
  <c r="CM228" i="2"/>
  <c r="CP223" i="2"/>
  <c r="CO223" i="2"/>
  <c r="CN223" i="2"/>
  <c r="CM223" i="2"/>
  <c r="CL223" i="2"/>
  <c r="CP219" i="2"/>
  <c r="CO219" i="2"/>
  <c r="CN219" i="2"/>
  <c r="CN215" i="2"/>
  <c r="CM219" i="2"/>
  <c r="CM270" i="2"/>
  <c r="CM266" i="2"/>
  <c r="CO214" i="2"/>
  <c r="CN214" i="2"/>
  <c r="CP211" i="2"/>
  <c r="CO211" i="2"/>
  <c r="CN211" i="2"/>
  <c r="CN262" i="2"/>
  <c r="CM211" i="2"/>
  <c r="CP201" i="2"/>
  <c r="CO201" i="2"/>
  <c r="CN201" i="2"/>
  <c r="CM201" i="2"/>
  <c r="CP199" i="2"/>
  <c r="CO199" i="2"/>
  <c r="CN199" i="2"/>
  <c r="CM199" i="2"/>
  <c r="CP193" i="2"/>
  <c r="CO193" i="2"/>
  <c r="CN193" i="2"/>
  <c r="CM193" i="2"/>
  <c r="CP191" i="2"/>
  <c r="CO191" i="2"/>
  <c r="CN191" i="2"/>
  <c r="CM191" i="2"/>
  <c r="CP182" i="2"/>
  <c r="CP187" i="2"/>
  <c r="CO182" i="2"/>
  <c r="CN182" i="2"/>
  <c r="CM182" i="2"/>
  <c r="CP177" i="2"/>
  <c r="CO177" i="2"/>
  <c r="CN177" i="2"/>
  <c r="CM177" i="2"/>
  <c r="CP172" i="2"/>
  <c r="CO172" i="2"/>
  <c r="CN172" i="2"/>
  <c r="CM172" i="2"/>
  <c r="CP168" i="2"/>
  <c r="CO168" i="2"/>
  <c r="CN168" i="2"/>
  <c r="CM168" i="2"/>
  <c r="CP160" i="2"/>
  <c r="CP262" i="2"/>
  <c r="CO160" i="2"/>
  <c r="CO262" i="2"/>
  <c r="CN160" i="2"/>
  <c r="CM160" i="2"/>
  <c r="CP150" i="2"/>
  <c r="CO150" i="2"/>
  <c r="CN150" i="2"/>
  <c r="CM150" i="2"/>
  <c r="CP148" i="2"/>
  <c r="CO148" i="2"/>
  <c r="CN148" i="2"/>
  <c r="CM148" i="2"/>
  <c r="CP142" i="2"/>
  <c r="CO142" i="2"/>
  <c r="CN142" i="2"/>
  <c r="CM142" i="2"/>
  <c r="CP140" i="2"/>
  <c r="CO140" i="2"/>
  <c r="CN140" i="2"/>
  <c r="CM140" i="2"/>
  <c r="CP131" i="2"/>
  <c r="CP136" i="2"/>
  <c r="CO131" i="2"/>
  <c r="CN131" i="2"/>
  <c r="CM131" i="2"/>
  <c r="CP126" i="2"/>
  <c r="CO126" i="2"/>
  <c r="CN126" i="2"/>
  <c r="CM126" i="2"/>
  <c r="CP117" i="2"/>
  <c r="CP113" i="2"/>
  <c r="CO117" i="2"/>
  <c r="CN117" i="2"/>
  <c r="CM117" i="2"/>
  <c r="CN109" i="2"/>
  <c r="CM109" i="2"/>
  <c r="CP99" i="2"/>
  <c r="CO99" i="2"/>
  <c r="CN99" i="2"/>
  <c r="CM99" i="2"/>
  <c r="CP97" i="2"/>
  <c r="CO97" i="2"/>
  <c r="CN97" i="2"/>
  <c r="CM97" i="2"/>
  <c r="CP91" i="2"/>
  <c r="CO91" i="2"/>
  <c r="CN91" i="2"/>
  <c r="CM91" i="2"/>
  <c r="CP89" i="2"/>
  <c r="CO89" i="2"/>
  <c r="CN89" i="2"/>
  <c r="CM89" i="2"/>
  <c r="CP80" i="2"/>
  <c r="CP85" i="2"/>
  <c r="CO80" i="2"/>
  <c r="CN80" i="2"/>
  <c r="CM80" i="2"/>
  <c r="CM85" i="2"/>
  <c r="CP75" i="2"/>
  <c r="CO75" i="2"/>
  <c r="CN75" i="2"/>
  <c r="CM75" i="2"/>
  <c r="CP66" i="2"/>
  <c r="CO66" i="2"/>
  <c r="CN66" i="2"/>
  <c r="CM66" i="2"/>
  <c r="CO58" i="2"/>
  <c r="CP58" i="2"/>
  <c r="CM58" i="2"/>
  <c r="CP49" i="2"/>
  <c r="CO49" i="2"/>
  <c r="CN49" i="2"/>
  <c r="CM49" i="2"/>
  <c r="CP47" i="2"/>
  <c r="CO47" i="2"/>
  <c r="CN47" i="2"/>
  <c r="CM47" i="2"/>
  <c r="CP41" i="2"/>
  <c r="CO41" i="2"/>
  <c r="CN41" i="2"/>
  <c r="CM41" i="2"/>
  <c r="CP39" i="2"/>
  <c r="CO39" i="2"/>
  <c r="CN39" i="2"/>
  <c r="CM39" i="2"/>
  <c r="CP30" i="2"/>
  <c r="CP35" i="2"/>
  <c r="CO30" i="2"/>
  <c r="CN30" i="2"/>
  <c r="CM30" i="2"/>
  <c r="CP25" i="2"/>
  <c r="CO25" i="2"/>
  <c r="CN25" i="2"/>
  <c r="CM25" i="2"/>
  <c r="CP16" i="2"/>
  <c r="CO16" i="2"/>
  <c r="CN16" i="2"/>
  <c r="CM16" i="2"/>
  <c r="CP8" i="2"/>
  <c r="CO8" i="2"/>
  <c r="CN8" i="2"/>
  <c r="CM8" i="2"/>
  <c r="CL261" i="2"/>
  <c r="CL260" i="2"/>
  <c r="M23" i="4"/>
  <c r="AJ357" i="1"/>
  <c r="AJ337" i="1"/>
  <c r="AH337" i="1"/>
  <c r="AI182" i="1"/>
  <c r="AI337" i="1"/>
  <c r="AH317" i="1"/>
  <c r="AH284" i="1"/>
  <c r="AI317" i="1"/>
  <c r="AH347" i="1"/>
  <c r="AH20" i="1"/>
  <c r="AH31" i="1"/>
  <c r="AH70" i="1"/>
  <c r="AH81" i="1"/>
  <c r="AH120" i="1"/>
  <c r="AH131" i="1"/>
  <c r="AH233" i="1"/>
  <c r="AI284" i="1"/>
  <c r="AJ317" i="1"/>
  <c r="AI347" i="1"/>
  <c r="AH182" i="1"/>
  <c r="AI20" i="1"/>
  <c r="AI31" i="1"/>
  <c r="AI70" i="1"/>
  <c r="AI81" i="1"/>
  <c r="AI120" i="1"/>
  <c r="AI131" i="1"/>
  <c r="AI233" i="1"/>
  <c r="AJ284" i="1"/>
  <c r="AJ347" i="1"/>
  <c r="AJ20" i="1"/>
  <c r="AJ31" i="1"/>
  <c r="AJ70" i="1"/>
  <c r="AJ81" i="1"/>
  <c r="AJ120" i="1"/>
  <c r="AJ131" i="1"/>
  <c r="AJ233" i="1"/>
  <c r="AH327" i="1"/>
  <c r="AI327" i="1"/>
  <c r="AH357" i="1"/>
  <c r="AJ182" i="1"/>
  <c r="AJ327" i="1"/>
  <c r="AI357" i="1"/>
  <c r="CN35" i="2"/>
  <c r="CO85" i="2"/>
  <c r="CM35" i="2"/>
  <c r="CO35" i="2"/>
  <c r="CM136" i="2"/>
  <c r="CM187" i="2"/>
  <c r="CO113" i="2"/>
  <c r="CO238" i="2"/>
  <c r="CM12" i="2"/>
  <c r="CN136" i="2"/>
  <c r="CN187" i="2"/>
  <c r="CN238" i="2"/>
  <c r="CN12" i="2"/>
  <c r="CM262" i="2"/>
  <c r="CO136" i="2"/>
  <c r="CO187" i="2"/>
  <c r="CN85" i="2"/>
  <c r="CO12" i="2"/>
  <c r="CP215" i="2"/>
  <c r="CP164" i="2"/>
  <c r="CP270" i="2"/>
  <c r="CP62" i="2"/>
  <c r="CP284" i="2"/>
  <c r="CP265" i="2"/>
  <c r="CP12" i="2"/>
  <c r="CO284" i="2"/>
  <c r="AG69" i="3"/>
  <c r="AG70" i="3"/>
  <c r="CO270" i="2"/>
  <c r="CO62" i="2"/>
  <c r="CO265" i="2"/>
  <c r="AF69" i="3"/>
  <c r="AF73" i="3"/>
  <c r="AF70" i="3"/>
  <c r="L26" i="4"/>
  <c r="L28" i="4"/>
  <c r="L23" i="4"/>
  <c r="AE69" i="3"/>
  <c r="AE70" i="3"/>
  <c r="CN265" i="2"/>
  <c r="CN113" i="2"/>
  <c r="CN284" i="2"/>
  <c r="CN62" i="2"/>
  <c r="K26" i="4"/>
  <c r="K28" i="4"/>
  <c r="AD70" i="3"/>
  <c r="AD69" i="3"/>
  <c r="AD73" i="3"/>
  <c r="AH261" i="1"/>
  <c r="CM164" i="2"/>
  <c r="CM113" i="2"/>
  <c r="CM62" i="2"/>
  <c r="CM279" i="2"/>
  <c r="CM286" i="2"/>
  <c r="CM265" i="2"/>
  <c r="M26" i="4"/>
  <c r="M28" i="4"/>
  <c r="K21" i="4"/>
  <c r="K23" i="4"/>
  <c r="N21" i="4"/>
  <c r="N23" i="4"/>
  <c r="N27" i="4"/>
  <c r="N28" i="4"/>
  <c r="AG31" i="3"/>
  <c r="AG36" i="3"/>
  <c r="AF31" i="3"/>
  <c r="AF36" i="3"/>
  <c r="AE31" i="3"/>
  <c r="AE36" i="3"/>
  <c r="AJ364" i="1"/>
  <c r="AI261" i="1"/>
  <c r="AJ261" i="1"/>
  <c r="AK261" i="1"/>
  <c r="AH364" i="1"/>
  <c r="AI364" i="1"/>
  <c r="AK364" i="1"/>
  <c r="AG268" i="1"/>
  <c r="AG217" i="1"/>
  <c r="AH367" i="1"/>
  <c r="AJ374" i="1"/>
  <c r="AK367" i="1"/>
  <c r="AK373" i="1"/>
  <c r="AK375" i="1"/>
  <c r="AK372" i="1"/>
  <c r="AK374" i="1"/>
  <c r="AG73" i="3"/>
  <c r="AJ373" i="1"/>
  <c r="AJ367" i="1"/>
  <c r="AJ372" i="1"/>
  <c r="AJ375" i="1"/>
  <c r="AE73" i="3"/>
  <c r="AI367" i="1"/>
  <c r="AI374" i="1"/>
  <c r="AI375" i="1"/>
  <c r="AI372" i="1"/>
  <c r="AI373" i="1"/>
  <c r="AH375" i="1"/>
  <c r="AH374" i="1"/>
  <c r="AH372" i="1"/>
  <c r="AH373" i="1"/>
  <c r="J50" i="4"/>
  <c r="J48" i="4"/>
  <c r="J15" i="4"/>
  <c r="J7" i="4"/>
  <c r="F41" i="5"/>
  <c r="F39" i="5"/>
  <c r="F37" i="5"/>
  <c r="F33" i="5"/>
  <c r="F27" i="5"/>
  <c r="F22" i="5"/>
  <c r="E22" i="5"/>
  <c r="E27" i="5"/>
  <c r="AK376" i="1"/>
  <c r="AJ376" i="1"/>
  <c r="AI376" i="1"/>
  <c r="AH376" i="1"/>
  <c r="E41" i="5"/>
  <c r="E39" i="5"/>
  <c r="E37" i="5"/>
  <c r="E33" i="5"/>
  <c r="I50" i="4"/>
  <c r="I48" i="4"/>
  <c r="I15" i="4"/>
  <c r="I7" i="4"/>
  <c r="AF268" i="1"/>
  <c r="AF260" i="1"/>
  <c r="AF259" i="1"/>
  <c r="AF217" i="1"/>
  <c r="AF4" i="1"/>
  <c r="CK261" i="2"/>
  <c r="CK223" i="2"/>
  <c r="CK214" i="2"/>
  <c r="CK172" i="2"/>
  <c r="CK163" i="2"/>
  <c r="CK112" i="2"/>
  <c r="CK58" i="2"/>
  <c r="CK260" i="2"/>
  <c r="AA54" i="3"/>
  <c r="AA26" i="3"/>
  <c r="AE268" i="1"/>
  <c r="AE260" i="1"/>
  <c r="AE217" i="1"/>
  <c r="AE159" i="1"/>
  <c r="AE366" i="1"/>
  <c r="AE365" i="1"/>
  <c r="AE363" i="1"/>
  <c r="AE362" i="1"/>
  <c r="AE361" i="1"/>
  <c r="AE360" i="1"/>
  <c r="CJ277" i="2"/>
  <c r="CJ261" i="2"/>
  <c r="CJ163" i="2"/>
  <c r="CJ112" i="2"/>
  <c r="CJ111" i="2"/>
  <c r="CJ109" i="2"/>
  <c r="CJ60" i="2"/>
  <c r="CJ61" i="2"/>
  <c r="AE364" i="1"/>
  <c r="AE375" i="1"/>
  <c r="AE373" i="1"/>
  <c r="AE372" i="1"/>
  <c r="AE374" i="1"/>
  <c r="AE367" i="1"/>
  <c r="CJ10" i="2"/>
  <c r="CJ11" i="2"/>
  <c r="H50" i="4"/>
  <c r="H48" i="4"/>
  <c r="D41" i="5"/>
  <c r="C41" i="5"/>
  <c r="D39" i="5"/>
  <c r="C39" i="5"/>
  <c r="D37" i="5"/>
  <c r="C37" i="5"/>
  <c r="D33" i="5"/>
  <c r="C33" i="5"/>
  <c r="D22" i="5"/>
  <c r="D27" i="5"/>
  <c r="C22" i="5"/>
  <c r="C27" i="5"/>
  <c r="AD268" i="1"/>
  <c r="AD260" i="1"/>
  <c r="AD217" i="1"/>
  <c r="CI260" i="2"/>
  <c r="AE376" i="1"/>
  <c r="CI111" i="2"/>
  <c r="CI112" i="2"/>
  <c r="CI10" i="2"/>
  <c r="J44" i="4"/>
  <c r="I44" i="4"/>
  <c r="H44" i="4"/>
  <c r="G44" i="4"/>
  <c r="J33" i="4"/>
  <c r="J38" i="4"/>
  <c r="I33" i="4"/>
  <c r="I38" i="4"/>
  <c r="H33" i="4"/>
  <c r="H38" i="4"/>
  <c r="G33" i="4"/>
  <c r="G38" i="4"/>
  <c r="J27" i="4"/>
  <c r="I27" i="4"/>
  <c r="H27" i="4"/>
  <c r="G27" i="4"/>
  <c r="J26" i="4"/>
  <c r="I26" i="4"/>
  <c r="H26" i="4"/>
  <c r="G26" i="4"/>
  <c r="J22" i="4"/>
  <c r="I22" i="4"/>
  <c r="H22" i="4"/>
  <c r="G22" i="4"/>
  <c r="J21" i="4"/>
  <c r="I21" i="4"/>
  <c r="H21" i="4"/>
  <c r="G21" i="4"/>
  <c r="Z46" i="3"/>
  <c r="AA46" i="3"/>
  <c r="AB46" i="3"/>
  <c r="AC46" i="3"/>
  <c r="AC64" i="3"/>
  <c r="AC67" i="3"/>
  <c r="AB64" i="3"/>
  <c r="AB67" i="3"/>
  <c r="AA64" i="3"/>
  <c r="AA67" i="3"/>
  <c r="Z64" i="3"/>
  <c r="Z67" i="3"/>
  <c r="AC54" i="3"/>
  <c r="AB54" i="3"/>
  <c r="Z54" i="3"/>
  <c r="AC52" i="3"/>
  <c r="AB52" i="3"/>
  <c r="AA52" i="3"/>
  <c r="Z52" i="3"/>
  <c r="AC48" i="3"/>
  <c r="AB48" i="3"/>
  <c r="AA48" i="3"/>
  <c r="Z48" i="3"/>
  <c r="AC42" i="3"/>
  <c r="AB42" i="3"/>
  <c r="AA42" i="3"/>
  <c r="Z42" i="3"/>
  <c r="AC28" i="3"/>
  <c r="AB28" i="3"/>
  <c r="AA28" i="3"/>
  <c r="Z28" i="3"/>
  <c r="AC25" i="3"/>
  <c r="AB25" i="3"/>
  <c r="AA25" i="3"/>
  <c r="AA31" i="3"/>
  <c r="AA36" i="3"/>
  <c r="Z25" i="3"/>
  <c r="AD297" i="1"/>
  <c r="AG366" i="1"/>
  <c r="AF366" i="1"/>
  <c r="AD366" i="1"/>
  <c r="AG365" i="1"/>
  <c r="AF365" i="1"/>
  <c r="AD365" i="1"/>
  <c r="AG363" i="1"/>
  <c r="AF363" i="1"/>
  <c r="AD363" i="1"/>
  <c r="AG362" i="1"/>
  <c r="AF362" i="1"/>
  <c r="AD362" i="1"/>
  <c r="AG361" i="1"/>
  <c r="AF361" i="1"/>
  <c r="AD361" i="1"/>
  <c r="AG360" i="1"/>
  <c r="AF360" i="1"/>
  <c r="AD360" i="1"/>
  <c r="AG354" i="1"/>
  <c r="AF354" i="1"/>
  <c r="AE354" i="1"/>
  <c r="AD354" i="1"/>
  <c r="AG344" i="1"/>
  <c r="AF344" i="1"/>
  <c r="AE344" i="1"/>
  <c r="AD344" i="1"/>
  <c r="AG334" i="1"/>
  <c r="AF334" i="1"/>
  <c r="AE334" i="1"/>
  <c r="AD334" i="1"/>
  <c r="AG324" i="1"/>
  <c r="AF324" i="1"/>
  <c r="AE324" i="1"/>
  <c r="AD324" i="1"/>
  <c r="AG314" i="1"/>
  <c r="AF314" i="1"/>
  <c r="AE314" i="1"/>
  <c r="AD314" i="1"/>
  <c r="AG303" i="1"/>
  <c r="AF303" i="1"/>
  <c r="AE303" i="1"/>
  <c r="AD303" i="1"/>
  <c r="AG301" i="1"/>
  <c r="AF301" i="1"/>
  <c r="AE301" i="1"/>
  <c r="AD301" i="1"/>
  <c r="AG297" i="1"/>
  <c r="AF297" i="1"/>
  <c r="AE297" i="1"/>
  <c r="AG295" i="1"/>
  <c r="AF295" i="1"/>
  <c r="AE295" i="1"/>
  <c r="AD295" i="1"/>
  <c r="AG290" i="1"/>
  <c r="AF290" i="1"/>
  <c r="AE290" i="1"/>
  <c r="AD290" i="1"/>
  <c r="AG279" i="1"/>
  <c r="AF279" i="1"/>
  <c r="AE279" i="1"/>
  <c r="AD279" i="1"/>
  <c r="AG269" i="1"/>
  <c r="AF269" i="1"/>
  <c r="AE269" i="1"/>
  <c r="AD269" i="1"/>
  <c r="AG260" i="1"/>
  <c r="AG259" i="1"/>
  <c r="AE259" i="1"/>
  <c r="AD259" i="1"/>
  <c r="AG257" i="1"/>
  <c r="AF257" i="1"/>
  <c r="AE257" i="1"/>
  <c r="AD257" i="1"/>
  <c r="AG252" i="1"/>
  <c r="AF252" i="1"/>
  <c r="AE252" i="1"/>
  <c r="AD252" i="1"/>
  <c r="AG250" i="1"/>
  <c r="AF250" i="1"/>
  <c r="AE250" i="1"/>
  <c r="AD250" i="1"/>
  <c r="AG246" i="1"/>
  <c r="AF246" i="1"/>
  <c r="AE246" i="1"/>
  <c r="AD246" i="1"/>
  <c r="AG244" i="1"/>
  <c r="AF244" i="1"/>
  <c r="AE244" i="1"/>
  <c r="AD244" i="1"/>
  <c r="AG239" i="1"/>
  <c r="AF239" i="1"/>
  <c r="AE239" i="1"/>
  <c r="AD239" i="1"/>
  <c r="AG228" i="1"/>
  <c r="AF228" i="1"/>
  <c r="AE228" i="1"/>
  <c r="AD228" i="1"/>
  <c r="AF218" i="1"/>
  <c r="AE218" i="1"/>
  <c r="AD218" i="1"/>
  <c r="AG218" i="1"/>
  <c r="AG210" i="1"/>
  <c r="AF210" i="1"/>
  <c r="AE210" i="1"/>
  <c r="AD210" i="1"/>
  <c r="AG201" i="1"/>
  <c r="AF201" i="1"/>
  <c r="AE201" i="1"/>
  <c r="AD201" i="1"/>
  <c r="AG199" i="1"/>
  <c r="AF199" i="1"/>
  <c r="AE199" i="1"/>
  <c r="AD199" i="1"/>
  <c r="AF195" i="1"/>
  <c r="AE195" i="1"/>
  <c r="AD195" i="1"/>
  <c r="AG193" i="1"/>
  <c r="AF193" i="1"/>
  <c r="AE193" i="1"/>
  <c r="AD193" i="1"/>
  <c r="AG188" i="1"/>
  <c r="AF188" i="1"/>
  <c r="AE188" i="1"/>
  <c r="AD188" i="1"/>
  <c r="AG177" i="1"/>
  <c r="AF177" i="1"/>
  <c r="AE177" i="1"/>
  <c r="AD177" i="1"/>
  <c r="AG167" i="1"/>
  <c r="AF167" i="1"/>
  <c r="AE167" i="1"/>
  <c r="AD167" i="1"/>
  <c r="AG159" i="1"/>
  <c r="AF159" i="1"/>
  <c r="AD159" i="1"/>
  <c r="AG150" i="1"/>
  <c r="AF150" i="1"/>
  <c r="AE150" i="1"/>
  <c r="AD150" i="1"/>
  <c r="AG148" i="1"/>
  <c r="AF148" i="1"/>
  <c r="AE148" i="1"/>
  <c r="AD148" i="1"/>
  <c r="AG144" i="1"/>
  <c r="AF144" i="1"/>
  <c r="AE144" i="1"/>
  <c r="AD144" i="1"/>
  <c r="AG142" i="1"/>
  <c r="AF142" i="1"/>
  <c r="AE142" i="1"/>
  <c r="AD142" i="1"/>
  <c r="AG137" i="1"/>
  <c r="AF137" i="1"/>
  <c r="AE137" i="1"/>
  <c r="AD137" i="1"/>
  <c r="AG126" i="1"/>
  <c r="AF126" i="1"/>
  <c r="AE126" i="1"/>
  <c r="AD126" i="1"/>
  <c r="AG116" i="1"/>
  <c r="AF116" i="1"/>
  <c r="AE116" i="1"/>
  <c r="AD116" i="1"/>
  <c r="AG112" i="1"/>
  <c r="AF112" i="1"/>
  <c r="AE112" i="1"/>
  <c r="AD112" i="1"/>
  <c r="AG108" i="1"/>
  <c r="AF108" i="1"/>
  <c r="AE108" i="1"/>
  <c r="AD108" i="1"/>
  <c r="AG100" i="1"/>
  <c r="AF100" i="1"/>
  <c r="AE100" i="1"/>
  <c r="AD100" i="1"/>
  <c r="AG98" i="1"/>
  <c r="AF98" i="1"/>
  <c r="AE98" i="1"/>
  <c r="AD98" i="1"/>
  <c r="AG94" i="1"/>
  <c r="AF94" i="1"/>
  <c r="AE94" i="1"/>
  <c r="AD94" i="1"/>
  <c r="AG92" i="1"/>
  <c r="AF92" i="1"/>
  <c r="AE92" i="1"/>
  <c r="AD92" i="1"/>
  <c r="AG87" i="1"/>
  <c r="AF87" i="1"/>
  <c r="AE87" i="1"/>
  <c r="AD87" i="1"/>
  <c r="AG76" i="1"/>
  <c r="AF76" i="1"/>
  <c r="AE76" i="1"/>
  <c r="AD76" i="1"/>
  <c r="AG66" i="1"/>
  <c r="AF66" i="1"/>
  <c r="AE66" i="1"/>
  <c r="AD66" i="1"/>
  <c r="AG62" i="1"/>
  <c r="AF62" i="1"/>
  <c r="AE62" i="1"/>
  <c r="AD62" i="1"/>
  <c r="AG58" i="1"/>
  <c r="AF58" i="1"/>
  <c r="AE58" i="1"/>
  <c r="AD58" i="1"/>
  <c r="AG50" i="1"/>
  <c r="AF50" i="1"/>
  <c r="AE50" i="1"/>
  <c r="AD50" i="1"/>
  <c r="AG48" i="1"/>
  <c r="AF48" i="1"/>
  <c r="AE48" i="1"/>
  <c r="AD48" i="1"/>
  <c r="AG44" i="1"/>
  <c r="AF44" i="1"/>
  <c r="AE44" i="1"/>
  <c r="AD44" i="1"/>
  <c r="AG42" i="1"/>
  <c r="AF42" i="1"/>
  <c r="AE42" i="1"/>
  <c r="AD42" i="1"/>
  <c r="AG37" i="1"/>
  <c r="AF37" i="1"/>
  <c r="AE37" i="1"/>
  <c r="AD37" i="1"/>
  <c r="AG26" i="1"/>
  <c r="AF26" i="1"/>
  <c r="AE26" i="1"/>
  <c r="AD26" i="1"/>
  <c r="AG16" i="1"/>
  <c r="AF16" i="1"/>
  <c r="AE16" i="1"/>
  <c r="AD16" i="1"/>
  <c r="AG12" i="1"/>
  <c r="AF12" i="1"/>
  <c r="AE12" i="1"/>
  <c r="AD12" i="1"/>
  <c r="AG8" i="1"/>
  <c r="AF8" i="1"/>
  <c r="AE8" i="1"/>
  <c r="AD8" i="1"/>
  <c r="CI242" i="2"/>
  <c r="CJ242" i="2"/>
  <c r="CK242" i="2"/>
  <c r="CL242" i="2"/>
  <c r="CL305" i="2"/>
  <c r="CK305" i="2"/>
  <c r="CJ305" i="2"/>
  <c r="CI305" i="2"/>
  <c r="CL301" i="2"/>
  <c r="CK301" i="2"/>
  <c r="CJ301" i="2"/>
  <c r="CI301" i="2"/>
  <c r="CL283" i="2"/>
  <c r="CK283" i="2"/>
  <c r="CJ283" i="2"/>
  <c r="CI283" i="2"/>
  <c r="CL282" i="2"/>
  <c r="CK282" i="2"/>
  <c r="CJ282" i="2"/>
  <c r="CI282" i="2"/>
  <c r="CL278" i="2"/>
  <c r="CK278" i="2"/>
  <c r="CJ278" i="2"/>
  <c r="CI278" i="2"/>
  <c r="CL277" i="2"/>
  <c r="CK277" i="2"/>
  <c r="CI277" i="2"/>
  <c r="CL276" i="2"/>
  <c r="CK276" i="2"/>
  <c r="CJ276" i="2"/>
  <c r="CI276" i="2"/>
  <c r="CL269" i="2"/>
  <c r="CK269" i="2"/>
  <c r="CJ269" i="2"/>
  <c r="CI269" i="2"/>
  <c r="CL268" i="2"/>
  <c r="CK268" i="2"/>
  <c r="CJ268" i="2"/>
  <c r="CI268" i="2"/>
  <c r="CI261" i="2"/>
  <c r="CJ260" i="2"/>
  <c r="CL258" i="2"/>
  <c r="CK258" i="2"/>
  <c r="CJ258" i="2"/>
  <c r="CI258" i="2"/>
  <c r="CL257" i="2"/>
  <c r="CK257" i="2"/>
  <c r="CJ257" i="2"/>
  <c r="CI257" i="2"/>
  <c r="CL252" i="2"/>
  <c r="CK252" i="2"/>
  <c r="CJ252" i="2"/>
  <c r="CI252" i="2"/>
  <c r="CL250" i="2"/>
  <c r="CK250" i="2"/>
  <c r="CJ250" i="2"/>
  <c r="CI250" i="2"/>
  <c r="CL244" i="2"/>
  <c r="CK244" i="2"/>
  <c r="CJ244" i="2"/>
  <c r="CI244" i="2"/>
  <c r="CL233" i="2"/>
  <c r="CK233" i="2"/>
  <c r="CJ233" i="2"/>
  <c r="CI233" i="2"/>
  <c r="CL228" i="2"/>
  <c r="CK228" i="2"/>
  <c r="CJ228" i="2"/>
  <c r="CI228" i="2"/>
  <c r="CJ223" i="2"/>
  <c r="CI223" i="2"/>
  <c r="CL219" i="2"/>
  <c r="CK219" i="2"/>
  <c r="CJ219" i="2"/>
  <c r="CI219" i="2"/>
  <c r="CJ214" i="2"/>
  <c r="CI214" i="2"/>
  <c r="CL211" i="2"/>
  <c r="CK211" i="2"/>
  <c r="CJ211" i="2"/>
  <c r="CI211" i="2"/>
  <c r="CL201" i="2"/>
  <c r="CK201" i="2"/>
  <c r="CJ201" i="2"/>
  <c r="CI201" i="2"/>
  <c r="CL199" i="2"/>
  <c r="CK199" i="2"/>
  <c r="CJ199" i="2"/>
  <c r="CI199" i="2"/>
  <c r="CL193" i="2"/>
  <c r="CK193" i="2"/>
  <c r="CJ193" i="2"/>
  <c r="CI193" i="2"/>
  <c r="CL191" i="2"/>
  <c r="CK191" i="2"/>
  <c r="CJ191" i="2"/>
  <c r="CI191" i="2"/>
  <c r="CL182" i="2"/>
  <c r="CK182" i="2"/>
  <c r="CJ182" i="2"/>
  <c r="CI182" i="2"/>
  <c r="CL177" i="2"/>
  <c r="CK177" i="2"/>
  <c r="CJ177" i="2"/>
  <c r="CI177" i="2"/>
  <c r="CJ172" i="2"/>
  <c r="CI172" i="2"/>
  <c r="CL168" i="2"/>
  <c r="CK168" i="2"/>
  <c r="CJ168" i="2"/>
  <c r="CI168" i="2"/>
  <c r="CI163" i="2"/>
  <c r="CL160" i="2"/>
  <c r="CK160" i="2"/>
  <c r="CJ160" i="2"/>
  <c r="CI160" i="2"/>
  <c r="CL150" i="2"/>
  <c r="CK150" i="2"/>
  <c r="CJ150" i="2"/>
  <c r="CI150" i="2"/>
  <c r="CL148" i="2"/>
  <c r="CK148" i="2"/>
  <c r="CJ148" i="2"/>
  <c r="CI148" i="2"/>
  <c r="CL142" i="2"/>
  <c r="CK142" i="2"/>
  <c r="CJ142" i="2"/>
  <c r="CI142" i="2"/>
  <c r="CL140" i="2"/>
  <c r="CK140" i="2"/>
  <c r="CJ140" i="2"/>
  <c r="CI140" i="2"/>
  <c r="CL131" i="2"/>
  <c r="CK131" i="2"/>
  <c r="CJ131" i="2"/>
  <c r="CI131" i="2"/>
  <c r="CL126" i="2"/>
  <c r="CK126" i="2"/>
  <c r="CJ126" i="2"/>
  <c r="CI126" i="2"/>
  <c r="CL117" i="2"/>
  <c r="CK117" i="2"/>
  <c r="CJ117" i="2"/>
  <c r="CI117" i="2"/>
  <c r="CL109" i="2"/>
  <c r="CK109" i="2"/>
  <c r="CI109" i="2"/>
  <c r="CL99" i="2"/>
  <c r="CK99" i="2"/>
  <c r="CJ99" i="2"/>
  <c r="CI99" i="2"/>
  <c r="CL97" i="2"/>
  <c r="CK97" i="2"/>
  <c r="CJ97" i="2"/>
  <c r="CI97" i="2"/>
  <c r="CL91" i="2"/>
  <c r="CK91" i="2"/>
  <c r="CJ91" i="2"/>
  <c r="CI91" i="2"/>
  <c r="CL89" i="2"/>
  <c r="CK89" i="2"/>
  <c r="CJ89" i="2"/>
  <c r="CI89" i="2"/>
  <c r="CL80" i="2"/>
  <c r="CK80" i="2"/>
  <c r="CJ80" i="2"/>
  <c r="CI80" i="2"/>
  <c r="CL75" i="2"/>
  <c r="CK75" i="2"/>
  <c r="CJ75" i="2"/>
  <c r="CI75" i="2"/>
  <c r="CL66" i="2"/>
  <c r="CK66" i="2"/>
  <c r="CJ66" i="2"/>
  <c r="CI66" i="2"/>
  <c r="CL61" i="2"/>
  <c r="CI61" i="2"/>
  <c r="CL60" i="2"/>
  <c r="CK60" i="2"/>
  <c r="CI60" i="2"/>
  <c r="CL58" i="2"/>
  <c r="CJ58" i="2"/>
  <c r="CI58" i="2"/>
  <c r="CL49" i="2"/>
  <c r="CK49" i="2"/>
  <c r="CJ49" i="2"/>
  <c r="CI49" i="2"/>
  <c r="CL47" i="2"/>
  <c r="CK47" i="2"/>
  <c r="CJ47" i="2"/>
  <c r="CI47" i="2"/>
  <c r="CL41" i="2"/>
  <c r="CK41" i="2"/>
  <c r="CJ41" i="2"/>
  <c r="CI41" i="2"/>
  <c r="CL39" i="2"/>
  <c r="CK39" i="2"/>
  <c r="CJ39" i="2"/>
  <c r="CI39" i="2"/>
  <c r="CL30" i="2"/>
  <c r="CK30" i="2"/>
  <c r="CJ30" i="2"/>
  <c r="CI30" i="2"/>
  <c r="CL25" i="2"/>
  <c r="CK25" i="2"/>
  <c r="CJ25" i="2"/>
  <c r="CI25" i="2"/>
  <c r="CL16" i="2"/>
  <c r="CK16" i="2"/>
  <c r="CJ16" i="2"/>
  <c r="CI16" i="2"/>
  <c r="CI11" i="2"/>
  <c r="CL8" i="2"/>
  <c r="CK8" i="2"/>
  <c r="CJ8" i="2"/>
  <c r="CI8" i="2"/>
  <c r="D26" i="4"/>
  <c r="E26" i="4"/>
  <c r="F26" i="4"/>
  <c r="D27" i="4"/>
  <c r="E27" i="4"/>
  <c r="F27" i="4"/>
  <c r="C27" i="4"/>
  <c r="C26" i="4"/>
  <c r="E22" i="4"/>
  <c r="D22" i="4"/>
  <c r="C22" i="4"/>
  <c r="E21" i="4"/>
  <c r="D21" i="4"/>
  <c r="C21" i="4"/>
  <c r="F22" i="4"/>
  <c r="F21" i="4"/>
  <c r="F33" i="4"/>
  <c r="F38" i="4"/>
  <c r="E33" i="4"/>
  <c r="E38" i="4"/>
  <c r="D33" i="4"/>
  <c r="D38" i="4"/>
  <c r="C33" i="4"/>
  <c r="C38" i="4"/>
  <c r="F44" i="4"/>
  <c r="E44" i="4"/>
  <c r="D44" i="4"/>
  <c r="C44" i="4"/>
  <c r="AC268" i="1"/>
  <c r="AC217" i="1"/>
  <c r="AF20" i="1"/>
  <c r="AF31" i="1"/>
  <c r="AF70" i="1"/>
  <c r="AF81" i="1"/>
  <c r="AF120" i="1"/>
  <c r="AF131" i="1"/>
  <c r="AD233" i="1"/>
  <c r="AD284" i="1"/>
  <c r="AE317" i="1"/>
  <c r="AE347" i="1"/>
  <c r="AE233" i="1"/>
  <c r="AF347" i="1"/>
  <c r="AG317" i="1"/>
  <c r="AG233" i="1"/>
  <c r="AE327" i="1"/>
  <c r="AE357" i="1"/>
  <c r="AG31" i="1"/>
  <c r="AF284" i="1"/>
  <c r="AD327" i="1"/>
  <c r="AD182" i="1"/>
  <c r="AF327" i="1"/>
  <c r="AF357" i="1"/>
  <c r="AG70" i="1"/>
  <c r="AE182" i="1"/>
  <c r="AG327" i="1"/>
  <c r="AG357" i="1"/>
  <c r="AF233" i="1"/>
  <c r="AG284" i="1"/>
  <c r="AD357" i="1"/>
  <c r="AD337" i="1"/>
  <c r="AG81" i="1"/>
  <c r="AF317" i="1"/>
  <c r="AG347" i="1"/>
  <c r="AG182" i="1"/>
  <c r="AE337" i="1"/>
  <c r="AG20" i="1"/>
  <c r="AG131" i="1"/>
  <c r="AF337" i="1"/>
  <c r="AG120" i="1"/>
  <c r="AE284" i="1"/>
  <c r="AD20" i="1"/>
  <c r="AD31" i="1"/>
  <c r="AD70" i="1"/>
  <c r="AD81" i="1"/>
  <c r="AD120" i="1"/>
  <c r="AD131" i="1"/>
  <c r="AG337" i="1"/>
  <c r="AF182" i="1"/>
  <c r="AE20" i="1"/>
  <c r="AE31" i="1"/>
  <c r="AE70" i="1"/>
  <c r="AE81" i="1"/>
  <c r="AE120" i="1"/>
  <c r="AE131" i="1"/>
  <c r="AD317" i="1"/>
  <c r="AD347" i="1"/>
  <c r="CL300" i="2"/>
  <c r="CJ35" i="2"/>
  <c r="CJ85" i="2"/>
  <c r="CK113" i="2"/>
  <c r="CK292" i="2"/>
  <c r="CI187" i="2"/>
  <c r="CI238" i="2"/>
  <c r="CI136" i="2"/>
  <c r="CJ187" i="2"/>
  <c r="CJ238" i="2"/>
  <c r="CK85" i="2"/>
  <c r="CJ136" i="2"/>
  <c r="CK187" i="2"/>
  <c r="CK238" i="2"/>
  <c r="CL35" i="2"/>
  <c r="CK136" i="2"/>
  <c r="CL187" i="2"/>
  <c r="CL238" i="2"/>
  <c r="CL136" i="2"/>
  <c r="CK264" i="2"/>
  <c r="CL264" i="2"/>
  <c r="CI292" i="2"/>
  <c r="CK35" i="2"/>
  <c r="CL85" i="2"/>
  <c r="CI35" i="2"/>
  <c r="CI85" i="2"/>
  <c r="CJ113" i="2"/>
  <c r="CJ300" i="2"/>
  <c r="AB31" i="3"/>
  <c r="AB36" i="3"/>
  <c r="AC31" i="3"/>
  <c r="AC36" i="3"/>
  <c r="AA70" i="3"/>
  <c r="AB69" i="3"/>
  <c r="AB73" i="3"/>
  <c r="AF261" i="1"/>
  <c r="CI113" i="2"/>
  <c r="CI12" i="2"/>
  <c r="CJ264" i="2"/>
  <c r="CK164" i="2"/>
  <c r="CJ12" i="2"/>
  <c r="CL12" i="2"/>
  <c r="CJ164" i="2"/>
  <c r="CJ62" i="2"/>
  <c r="CL292" i="2"/>
  <c r="CJ290" i="2"/>
  <c r="CJ298" i="2"/>
  <c r="D28" i="4"/>
  <c r="I28" i="4"/>
  <c r="F23" i="4"/>
  <c r="F28" i="4"/>
  <c r="C23" i="4"/>
  <c r="E23" i="4"/>
  <c r="J28" i="4"/>
  <c r="D23" i="4"/>
  <c r="I23" i="4"/>
  <c r="AA69" i="3"/>
  <c r="AB70" i="3"/>
  <c r="AC69" i="3"/>
  <c r="AC70" i="3"/>
  <c r="AG261" i="1"/>
  <c r="CI262" i="2"/>
  <c r="CK12" i="2"/>
  <c r="CK62" i="2"/>
  <c r="CJ215" i="2"/>
  <c r="CI298" i="2"/>
  <c r="CL265" i="2"/>
  <c r="E28" i="4"/>
  <c r="H23" i="4"/>
  <c r="G23" i="4"/>
  <c r="Z69" i="3"/>
  <c r="Z70" i="3"/>
  <c r="CI164" i="2"/>
  <c r="CI62" i="2"/>
  <c r="CI265" i="2"/>
  <c r="G28" i="4"/>
  <c r="H28" i="4"/>
  <c r="J23" i="4"/>
  <c r="Z31" i="3"/>
  <c r="Z36" i="3"/>
  <c r="AD261" i="1"/>
  <c r="AE261" i="1"/>
  <c r="AD364" i="1"/>
  <c r="AF364" i="1"/>
  <c r="AG364" i="1"/>
  <c r="CK215" i="2"/>
  <c r="CL215" i="2"/>
  <c r="CI215" i="2"/>
  <c r="CK270" i="2"/>
  <c r="CJ262" i="2"/>
  <c r="CL164" i="2"/>
  <c r="CI279" i="2"/>
  <c r="CL113" i="2"/>
  <c r="CJ284" i="2"/>
  <c r="CK265" i="2"/>
  <c r="CI270" i="2"/>
  <c r="CK298" i="2"/>
  <c r="CK290" i="2"/>
  <c r="CL298" i="2"/>
  <c r="CI290" i="2"/>
  <c r="CL290" i="2"/>
  <c r="CI300" i="2"/>
  <c r="CK300" i="2"/>
  <c r="CI284" i="2"/>
  <c r="CK284" i="2"/>
  <c r="CL284" i="2"/>
  <c r="CK279" i="2"/>
  <c r="CL279" i="2"/>
  <c r="CJ279" i="2"/>
  <c r="CL270" i="2"/>
  <c r="CJ270" i="2"/>
  <c r="CK262" i="2"/>
  <c r="CJ265" i="2"/>
  <c r="CL262" i="2"/>
  <c r="CL266" i="2"/>
  <c r="CI264" i="2"/>
  <c r="CL62" i="2"/>
  <c r="CJ292" i="2"/>
  <c r="C28" i="4"/>
  <c r="CH97" i="2"/>
  <c r="AC73" i="3"/>
  <c r="AF367" i="1"/>
  <c r="AG367" i="1"/>
  <c r="CL286" i="2"/>
  <c r="CK286" i="2"/>
  <c r="CI286" i="2"/>
  <c r="CJ286" i="2"/>
  <c r="AA73" i="3"/>
  <c r="AG375" i="1"/>
  <c r="AF373" i="1"/>
  <c r="CJ266" i="2"/>
  <c r="Z73" i="3"/>
  <c r="AG372" i="1"/>
  <c r="AF375" i="1"/>
  <c r="AF374" i="1"/>
  <c r="AF372" i="1"/>
  <c r="AG374" i="1"/>
  <c r="AG373" i="1"/>
  <c r="AD367" i="1"/>
  <c r="AD373" i="1"/>
  <c r="AD374" i="1"/>
  <c r="AD372" i="1"/>
  <c r="AD375" i="1"/>
  <c r="CI266" i="2"/>
  <c r="AB268" i="1"/>
  <c r="AB217" i="1"/>
  <c r="AG376" i="1"/>
  <c r="AF376" i="1"/>
  <c r="AD376" i="1"/>
  <c r="CG260" i="2"/>
  <c r="AA268" i="1"/>
  <c r="AA217" i="1"/>
  <c r="AA206" i="1"/>
  <c r="AA155" i="1"/>
  <c r="AA4" i="1"/>
  <c r="CF223" i="2"/>
  <c r="CF214" i="2"/>
  <c r="CF172" i="2"/>
  <c r="Z297" i="1"/>
  <c r="Z268" i="1"/>
  <c r="Z217" i="1"/>
  <c r="Z210" i="1"/>
  <c r="Z363" i="1"/>
  <c r="Z365" i="1"/>
  <c r="Z366" i="1"/>
  <c r="Z361" i="1"/>
  <c r="CE223" i="2"/>
  <c r="CE172" i="2"/>
  <c r="CE11" i="2"/>
  <c r="CE10" i="2"/>
  <c r="Y64" i="3"/>
  <c r="X64" i="3"/>
  <c r="W64" i="3"/>
  <c r="V64" i="3"/>
  <c r="Y54" i="3"/>
  <c r="X54" i="3"/>
  <c r="W54" i="3"/>
  <c r="V54" i="3"/>
  <c r="Y52" i="3"/>
  <c r="X52" i="3"/>
  <c r="W52" i="3"/>
  <c r="V52" i="3"/>
  <c r="Y48" i="3"/>
  <c r="X48" i="3"/>
  <c r="W48" i="3"/>
  <c r="V48" i="3"/>
  <c r="Y46" i="3"/>
  <c r="X46" i="3"/>
  <c r="W46" i="3"/>
  <c r="V46" i="3"/>
  <c r="Y42" i="3"/>
  <c r="X42" i="3"/>
  <c r="W42" i="3"/>
  <c r="V42" i="3"/>
  <c r="Y28" i="3"/>
  <c r="X28" i="3"/>
  <c r="W28" i="3"/>
  <c r="V28" i="3"/>
  <c r="Y25" i="3"/>
  <c r="X25" i="3"/>
  <c r="W25" i="3"/>
  <c r="V25" i="3"/>
  <c r="AB269" i="1"/>
  <c r="Z199" i="1"/>
  <c r="AA199" i="1"/>
  <c r="AB199" i="1"/>
  <c r="AC199" i="1"/>
  <c r="Z167" i="1"/>
  <c r="AA167" i="1"/>
  <c r="AB167" i="1"/>
  <c r="AC167" i="1"/>
  <c r="Z44" i="1"/>
  <c r="AA44" i="1"/>
  <c r="AB44" i="1"/>
  <c r="AC44" i="1"/>
  <c r="AC366" i="1"/>
  <c r="AB366" i="1"/>
  <c r="AA366" i="1"/>
  <c r="AC365" i="1"/>
  <c r="AB365" i="1"/>
  <c r="AA365" i="1"/>
  <c r="AC363" i="1"/>
  <c r="AB363" i="1"/>
  <c r="AA363" i="1"/>
  <c r="AC362" i="1"/>
  <c r="AB362" i="1"/>
  <c r="AA362" i="1"/>
  <c r="Z362" i="1"/>
  <c r="AC361" i="1"/>
  <c r="AB361" i="1"/>
  <c r="AA361" i="1"/>
  <c r="AC360" i="1"/>
  <c r="AB360" i="1"/>
  <c r="AA360" i="1"/>
  <c r="Z360" i="1"/>
  <c r="AC354" i="1"/>
  <c r="AC357" i="1"/>
  <c r="AB354" i="1"/>
  <c r="AB357" i="1"/>
  <c r="AA354" i="1"/>
  <c r="AA357" i="1"/>
  <c r="Z354" i="1"/>
  <c r="Z357" i="1"/>
  <c r="AC344" i="1"/>
  <c r="AC347" i="1"/>
  <c r="AB344" i="1"/>
  <c r="AB347" i="1"/>
  <c r="AA344" i="1"/>
  <c r="AA347" i="1"/>
  <c r="Z344" i="1"/>
  <c r="Z347" i="1"/>
  <c r="AC334" i="1"/>
  <c r="AC337" i="1"/>
  <c r="AB334" i="1"/>
  <c r="AB337" i="1"/>
  <c r="AA334" i="1"/>
  <c r="AA337" i="1"/>
  <c r="Z334" i="1"/>
  <c r="Z337" i="1"/>
  <c r="AC324" i="1"/>
  <c r="AC327" i="1"/>
  <c r="AB324" i="1"/>
  <c r="AB327" i="1"/>
  <c r="AA324" i="1"/>
  <c r="AA327" i="1"/>
  <c r="Z324" i="1"/>
  <c r="Z327" i="1"/>
  <c r="AC314" i="1"/>
  <c r="AC317" i="1"/>
  <c r="AB314" i="1"/>
  <c r="AB317" i="1"/>
  <c r="AA314" i="1"/>
  <c r="AA317" i="1"/>
  <c r="Z314" i="1"/>
  <c r="Z317" i="1"/>
  <c r="AC303" i="1"/>
  <c r="AB303" i="1"/>
  <c r="AA303" i="1"/>
  <c r="Z303" i="1"/>
  <c r="AC301" i="1"/>
  <c r="AB301" i="1"/>
  <c r="AA301" i="1"/>
  <c r="Z301" i="1"/>
  <c r="AC297" i="1"/>
  <c r="AB297" i="1"/>
  <c r="AA297" i="1"/>
  <c r="AC295" i="1"/>
  <c r="AB295" i="1"/>
  <c r="AA295" i="1"/>
  <c r="Z295" i="1"/>
  <c r="AC290" i="1"/>
  <c r="AB290" i="1"/>
  <c r="AA290" i="1"/>
  <c r="Z290" i="1"/>
  <c r="AC279" i="1"/>
  <c r="AC284" i="1"/>
  <c r="AB279" i="1"/>
  <c r="AB284" i="1"/>
  <c r="AA279" i="1"/>
  <c r="AA284" i="1"/>
  <c r="Z279" i="1"/>
  <c r="Z284" i="1"/>
  <c r="AC260" i="1"/>
  <c r="AB260" i="1"/>
  <c r="AA260" i="1"/>
  <c r="Z260" i="1"/>
  <c r="AC259" i="1"/>
  <c r="AB259" i="1"/>
  <c r="AA259" i="1"/>
  <c r="Z259" i="1"/>
  <c r="AB257" i="1"/>
  <c r="AA257" i="1"/>
  <c r="AC252" i="1"/>
  <c r="AB252" i="1"/>
  <c r="AA252" i="1"/>
  <c r="Z252" i="1"/>
  <c r="AC250" i="1"/>
  <c r="AB250" i="1"/>
  <c r="AA250" i="1"/>
  <c r="Z250" i="1"/>
  <c r="AC246" i="1"/>
  <c r="AB246" i="1"/>
  <c r="AA246" i="1"/>
  <c r="Z246" i="1"/>
  <c r="AC244" i="1"/>
  <c r="AB244" i="1"/>
  <c r="AA244" i="1"/>
  <c r="Z244" i="1"/>
  <c r="AC239" i="1"/>
  <c r="AB239" i="1"/>
  <c r="AA239" i="1"/>
  <c r="Z239" i="1"/>
  <c r="AC228" i="1"/>
  <c r="AC233" i="1"/>
  <c r="AB228" i="1"/>
  <c r="AB233" i="1"/>
  <c r="AA228" i="1"/>
  <c r="AA233" i="1"/>
  <c r="Z228" i="1"/>
  <c r="Z233" i="1"/>
  <c r="AC218" i="1"/>
  <c r="AB218" i="1"/>
  <c r="AA218" i="1"/>
  <c r="Z269" i="1"/>
  <c r="AC210" i="1"/>
  <c r="AB210" i="1"/>
  <c r="AA210" i="1"/>
  <c r="AC201" i="1"/>
  <c r="AB201" i="1"/>
  <c r="AA201" i="1"/>
  <c r="Z201" i="1"/>
  <c r="AC195" i="1"/>
  <c r="AB195" i="1"/>
  <c r="AA195" i="1"/>
  <c r="Z195" i="1"/>
  <c r="AC193" i="1"/>
  <c r="AB193" i="1"/>
  <c r="AA193" i="1"/>
  <c r="Z193" i="1"/>
  <c r="AC188" i="1"/>
  <c r="AB188" i="1"/>
  <c r="AA188" i="1"/>
  <c r="Z188" i="1"/>
  <c r="AC177" i="1"/>
  <c r="AC182" i="1"/>
  <c r="AB177" i="1"/>
  <c r="AB182" i="1"/>
  <c r="AA177" i="1"/>
  <c r="AA182" i="1"/>
  <c r="Z177" i="1"/>
  <c r="Z182" i="1"/>
  <c r="AC159" i="1"/>
  <c r="AB159" i="1"/>
  <c r="AA159" i="1"/>
  <c r="Z159" i="1"/>
  <c r="AC150" i="1"/>
  <c r="AB150" i="1"/>
  <c r="AA150" i="1"/>
  <c r="Z150" i="1"/>
  <c r="AC148" i="1"/>
  <c r="AB148" i="1"/>
  <c r="AA148" i="1"/>
  <c r="Z148" i="1"/>
  <c r="AC144" i="1"/>
  <c r="AB144" i="1"/>
  <c r="AA144" i="1"/>
  <c r="Z144" i="1"/>
  <c r="AC142" i="1"/>
  <c r="AB142" i="1"/>
  <c r="AA142" i="1"/>
  <c r="Z142" i="1"/>
  <c r="AC137" i="1"/>
  <c r="AB137" i="1"/>
  <c r="AA137" i="1"/>
  <c r="Z137" i="1"/>
  <c r="AC126" i="1"/>
  <c r="AC131" i="1"/>
  <c r="AB126" i="1"/>
  <c r="AB131" i="1"/>
  <c r="AA126" i="1"/>
  <c r="AA131" i="1"/>
  <c r="Z126" i="1"/>
  <c r="Z131" i="1"/>
  <c r="AC116" i="1"/>
  <c r="AB116" i="1"/>
  <c r="AA116" i="1"/>
  <c r="Z116" i="1"/>
  <c r="AC112" i="1"/>
  <c r="AB112" i="1"/>
  <c r="AA112" i="1"/>
  <c r="Z112" i="1"/>
  <c r="AC108" i="1"/>
  <c r="AC120" i="1"/>
  <c r="AB108" i="1"/>
  <c r="AB120" i="1"/>
  <c r="AA108" i="1"/>
  <c r="AA120" i="1"/>
  <c r="Z108" i="1"/>
  <c r="Z120" i="1"/>
  <c r="AC100" i="1"/>
  <c r="AB100" i="1"/>
  <c r="AA100" i="1"/>
  <c r="Z100" i="1"/>
  <c r="AC98" i="1"/>
  <c r="AB98" i="1"/>
  <c r="AA98" i="1"/>
  <c r="Z98" i="1"/>
  <c r="AC94" i="1"/>
  <c r="AB94" i="1"/>
  <c r="AA94" i="1"/>
  <c r="Z94" i="1"/>
  <c r="AC92" i="1"/>
  <c r="AB92" i="1"/>
  <c r="AA92" i="1"/>
  <c r="Z92" i="1"/>
  <c r="AC87" i="1"/>
  <c r="AB87" i="1"/>
  <c r="AA87" i="1"/>
  <c r="Z87" i="1"/>
  <c r="AC76" i="1"/>
  <c r="AC81" i="1"/>
  <c r="AB76" i="1"/>
  <c r="AB81" i="1"/>
  <c r="AA76" i="1"/>
  <c r="AA81" i="1"/>
  <c r="Z76" i="1"/>
  <c r="Z81" i="1"/>
  <c r="AC66" i="1"/>
  <c r="AB66" i="1"/>
  <c r="AA66" i="1"/>
  <c r="Z66" i="1"/>
  <c r="AC62" i="1"/>
  <c r="AB62" i="1"/>
  <c r="AA62" i="1"/>
  <c r="Z62" i="1"/>
  <c r="AC58" i="1"/>
  <c r="AC70" i="1"/>
  <c r="AB58" i="1"/>
  <c r="AB70" i="1"/>
  <c r="AA58" i="1"/>
  <c r="AA70" i="1"/>
  <c r="Z58" i="1"/>
  <c r="Z70" i="1"/>
  <c r="AC50" i="1"/>
  <c r="AB50" i="1"/>
  <c r="AA50" i="1"/>
  <c r="Z50" i="1"/>
  <c r="AC48" i="1"/>
  <c r="AB48" i="1"/>
  <c r="AA48" i="1"/>
  <c r="Z48" i="1"/>
  <c r="AC42" i="1"/>
  <c r="AB42" i="1"/>
  <c r="AA42" i="1"/>
  <c r="Z42" i="1"/>
  <c r="AC37" i="1"/>
  <c r="AB37" i="1"/>
  <c r="AA37" i="1"/>
  <c r="Z37" i="1"/>
  <c r="AC26" i="1"/>
  <c r="AC31" i="1"/>
  <c r="AB26" i="1"/>
  <c r="AB31" i="1"/>
  <c r="AA26" i="1"/>
  <c r="AA31" i="1"/>
  <c r="Z26" i="1"/>
  <c r="Z31" i="1"/>
  <c r="AC16" i="1"/>
  <c r="AB16" i="1"/>
  <c r="AA16" i="1"/>
  <c r="Z16" i="1"/>
  <c r="AC12" i="1"/>
  <c r="AB12" i="1"/>
  <c r="AA12" i="1"/>
  <c r="Z12" i="1"/>
  <c r="AC8" i="1"/>
  <c r="AC20" i="1"/>
  <c r="AB8" i="1"/>
  <c r="AB20" i="1"/>
  <c r="AA8" i="1"/>
  <c r="AA20" i="1"/>
  <c r="Z8" i="1"/>
  <c r="Z20" i="1"/>
  <c r="AC257" i="1"/>
  <c r="Z257" i="1"/>
  <c r="CE191" i="2"/>
  <c r="CF191" i="2"/>
  <c r="CG191" i="2"/>
  <c r="CH191" i="2"/>
  <c r="CE142" i="2"/>
  <c r="CF142" i="2"/>
  <c r="CG142" i="2"/>
  <c r="CH142" i="2"/>
  <c r="CH112" i="2"/>
  <c r="CH111" i="2"/>
  <c r="CE75" i="2"/>
  <c r="CH61" i="2"/>
  <c r="CG61" i="2"/>
  <c r="CH60" i="2"/>
  <c r="CG60" i="2"/>
  <c r="CE25" i="2"/>
  <c r="CH305" i="2"/>
  <c r="CG305" i="2"/>
  <c r="CF305" i="2"/>
  <c r="CE305" i="2"/>
  <c r="CH301" i="2"/>
  <c r="CH300" i="2"/>
  <c r="CG301" i="2"/>
  <c r="CG300" i="2"/>
  <c r="CF301" i="2"/>
  <c r="CF300" i="2"/>
  <c r="CE301" i="2"/>
  <c r="CE298" i="2"/>
  <c r="CH283" i="2"/>
  <c r="CG283" i="2"/>
  <c r="CF283" i="2"/>
  <c r="CE283" i="2"/>
  <c r="CH282" i="2"/>
  <c r="CG282" i="2"/>
  <c r="CF282" i="2"/>
  <c r="CE282" i="2"/>
  <c r="CH278" i="2"/>
  <c r="CG278" i="2"/>
  <c r="CF278" i="2"/>
  <c r="CE278" i="2"/>
  <c r="CH277" i="2"/>
  <c r="CG277" i="2"/>
  <c r="CF277" i="2"/>
  <c r="CE277" i="2"/>
  <c r="CH276" i="2"/>
  <c r="CG276" i="2"/>
  <c r="CF276" i="2"/>
  <c r="CE276" i="2"/>
  <c r="CH269" i="2"/>
  <c r="CG269" i="2"/>
  <c r="CF269" i="2"/>
  <c r="CE269" i="2"/>
  <c r="CH268" i="2"/>
  <c r="CG268" i="2"/>
  <c r="CF268" i="2"/>
  <c r="CE268" i="2"/>
  <c r="CH261" i="2"/>
  <c r="CG261" i="2"/>
  <c r="CF261" i="2"/>
  <c r="CE261" i="2"/>
  <c r="CH260" i="2"/>
  <c r="CF260" i="2"/>
  <c r="CE260" i="2"/>
  <c r="CH258" i="2"/>
  <c r="CG258" i="2"/>
  <c r="CF258" i="2"/>
  <c r="CE258" i="2"/>
  <c r="CH257" i="2"/>
  <c r="CG257" i="2"/>
  <c r="CF257" i="2"/>
  <c r="CH252" i="2"/>
  <c r="CG252" i="2"/>
  <c r="CF252" i="2"/>
  <c r="CE252" i="2"/>
  <c r="CH250" i="2"/>
  <c r="CG250" i="2"/>
  <c r="CF250" i="2"/>
  <c r="CE250" i="2"/>
  <c r="CH244" i="2"/>
  <c r="CG244" i="2"/>
  <c r="CF244" i="2"/>
  <c r="CE244" i="2"/>
  <c r="CH242" i="2"/>
  <c r="CG242" i="2"/>
  <c r="CF242" i="2"/>
  <c r="CE242" i="2"/>
  <c r="CH233" i="2"/>
  <c r="CH238" i="2"/>
  <c r="CG233" i="2"/>
  <c r="CG238" i="2"/>
  <c r="CF233" i="2"/>
  <c r="CF238" i="2"/>
  <c r="CE233" i="2"/>
  <c r="CE238" i="2"/>
  <c r="CH228" i="2"/>
  <c r="CG228" i="2"/>
  <c r="CF228" i="2"/>
  <c r="CE228" i="2"/>
  <c r="CH219" i="2"/>
  <c r="CG219" i="2"/>
  <c r="CF219" i="2"/>
  <c r="CE219" i="2"/>
  <c r="CE214" i="2"/>
  <c r="CH211" i="2"/>
  <c r="CG211" i="2"/>
  <c r="CF211" i="2"/>
  <c r="CE211" i="2"/>
  <c r="CH201" i="2"/>
  <c r="CG201" i="2"/>
  <c r="CF201" i="2"/>
  <c r="CE201" i="2"/>
  <c r="CH199" i="2"/>
  <c r="CG199" i="2"/>
  <c r="CF199" i="2"/>
  <c r="CE199" i="2"/>
  <c r="CH193" i="2"/>
  <c r="CG193" i="2"/>
  <c r="CF193" i="2"/>
  <c r="CE193" i="2"/>
  <c r="CH182" i="2"/>
  <c r="CH187" i="2"/>
  <c r="CG182" i="2"/>
  <c r="CG187" i="2"/>
  <c r="CF182" i="2"/>
  <c r="CF187" i="2"/>
  <c r="CE182" i="2"/>
  <c r="CE187" i="2"/>
  <c r="CH177" i="2"/>
  <c r="CG177" i="2"/>
  <c r="CF177" i="2"/>
  <c r="CE177" i="2"/>
  <c r="CH168" i="2"/>
  <c r="CG168" i="2"/>
  <c r="CF168" i="2"/>
  <c r="CE168" i="2"/>
  <c r="CE163" i="2"/>
  <c r="CH160" i="2"/>
  <c r="CG160" i="2"/>
  <c r="CF160" i="2"/>
  <c r="CE160" i="2"/>
  <c r="CH150" i="2"/>
  <c r="CG150" i="2"/>
  <c r="CF150" i="2"/>
  <c r="CE150" i="2"/>
  <c r="CH148" i="2"/>
  <c r="CG148" i="2"/>
  <c r="CF148" i="2"/>
  <c r="CE148" i="2"/>
  <c r="CH140" i="2"/>
  <c r="CG140" i="2"/>
  <c r="CF140" i="2"/>
  <c r="CE140" i="2"/>
  <c r="CH131" i="2"/>
  <c r="CH136" i="2"/>
  <c r="CG131" i="2"/>
  <c r="CG136" i="2"/>
  <c r="CF131" i="2"/>
  <c r="CF136" i="2"/>
  <c r="CE131" i="2"/>
  <c r="CE136" i="2"/>
  <c r="CH126" i="2"/>
  <c r="CG126" i="2"/>
  <c r="CF126" i="2"/>
  <c r="CE126" i="2"/>
  <c r="CH117" i="2"/>
  <c r="CG117" i="2"/>
  <c r="CF117" i="2"/>
  <c r="CE117" i="2"/>
  <c r="CH109" i="2"/>
  <c r="CG109" i="2"/>
  <c r="CF109" i="2"/>
  <c r="CE109" i="2"/>
  <c r="CE257" i="2"/>
  <c r="CH99" i="2"/>
  <c r="CG99" i="2"/>
  <c r="CF99" i="2"/>
  <c r="CE99" i="2"/>
  <c r="CG97" i="2"/>
  <c r="CF97" i="2"/>
  <c r="CE97" i="2"/>
  <c r="CH91" i="2"/>
  <c r="CG91" i="2"/>
  <c r="CF91" i="2"/>
  <c r="CE91" i="2"/>
  <c r="CH89" i="2"/>
  <c r="CG89" i="2"/>
  <c r="CF89" i="2"/>
  <c r="CE89" i="2"/>
  <c r="CH80" i="2"/>
  <c r="CH85" i="2"/>
  <c r="CG80" i="2"/>
  <c r="CG85" i="2"/>
  <c r="CF80" i="2"/>
  <c r="CF85" i="2"/>
  <c r="CE80" i="2"/>
  <c r="CE85" i="2"/>
  <c r="CH75" i="2"/>
  <c r="CG75" i="2"/>
  <c r="CF75" i="2"/>
  <c r="CH66" i="2"/>
  <c r="CG66" i="2"/>
  <c r="CF66" i="2"/>
  <c r="CE66" i="2"/>
  <c r="CE61" i="2"/>
  <c r="CE60" i="2"/>
  <c r="CH58" i="2"/>
  <c r="CG58" i="2"/>
  <c r="CF58" i="2"/>
  <c r="CE58" i="2"/>
  <c r="CH49" i="2"/>
  <c r="CG49" i="2"/>
  <c r="CF49" i="2"/>
  <c r="CE49" i="2"/>
  <c r="CH47" i="2"/>
  <c r="CG47" i="2"/>
  <c r="CF47" i="2"/>
  <c r="CE47" i="2"/>
  <c r="CH41" i="2"/>
  <c r="CG41" i="2"/>
  <c r="CF41" i="2"/>
  <c r="CE41" i="2"/>
  <c r="CH39" i="2"/>
  <c r="CG39" i="2"/>
  <c r="CF39" i="2"/>
  <c r="CE39" i="2"/>
  <c r="CH30" i="2"/>
  <c r="CH35" i="2"/>
  <c r="CG30" i="2"/>
  <c r="CG35" i="2"/>
  <c r="CF30" i="2"/>
  <c r="CF35" i="2"/>
  <c r="CE30" i="2"/>
  <c r="CE35" i="2"/>
  <c r="CH25" i="2"/>
  <c r="CG25" i="2"/>
  <c r="CF25" i="2"/>
  <c r="CH16" i="2"/>
  <c r="CG16" i="2"/>
  <c r="CF16" i="2"/>
  <c r="CE16" i="2"/>
  <c r="CH8" i="2"/>
  <c r="CG8" i="2"/>
  <c r="CF8" i="2"/>
  <c r="CE8" i="2"/>
  <c r="CF12" i="2"/>
  <c r="CG290" i="2"/>
  <c r="CE300" i="2"/>
  <c r="W67" i="3"/>
  <c r="W70" i="3"/>
  <c r="W69" i="3"/>
  <c r="X67" i="3"/>
  <c r="X70" i="3"/>
  <c r="X69" i="3"/>
  <c r="Y67" i="3"/>
  <c r="Y70" i="3"/>
  <c r="Y69" i="3"/>
  <c r="AB261" i="1"/>
  <c r="CE12" i="2"/>
  <c r="CE290" i="2"/>
  <c r="CG12" i="2"/>
  <c r="CE292" i="2"/>
  <c r="CH164" i="2"/>
  <c r="CH62" i="2"/>
  <c r="CH12" i="2"/>
  <c r="CG279" i="2"/>
  <c r="CG286" i="2"/>
  <c r="CG62" i="2"/>
  <c r="CF215" i="2"/>
  <c r="CF62" i="2"/>
  <c r="V67" i="3"/>
  <c r="V70" i="3"/>
  <c r="V69" i="3"/>
  <c r="CF290" i="2"/>
  <c r="CG215" i="2"/>
  <c r="CH290" i="2"/>
  <c r="CF164" i="2"/>
  <c r="AB364" i="1"/>
  <c r="AB375" i="1"/>
  <c r="CG270" i="2"/>
  <c r="CG266" i="2"/>
  <c r="CH292" i="2"/>
  <c r="CH298" i="2"/>
  <c r="CG264" i="2"/>
  <c r="CG298" i="2"/>
  <c r="CF298" i="2"/>
  <c r="V73" i="3"/>
  <c r="CE215" i="2"/>
  <c r="CE164" i="2"/>
  <c r="CE265" i="2"/>
  <c r="CE262" i="2"/>
  <c r="V31" i="3"/>
  <c r="V36" i="3"/>
  <c r="W31" i="3"/>
  <c r="W36" i="3"/>
  <c r="X31" i="3"/>
  <c r="X36" i="3"/>
  <c r="Y31" i="3"/>
  <c r="Y36" i="3"/>
  <c r="AC364" i="1"/>
  <c r="AC367" i="1"/>
  <c r="AA364" i="1"/>
  <c r="Z364" i="1"/>
  <c r="AC269" i="1"/>
  <c r="AA269" i="1"/>
  <c r="AC261" i="1"/>
  <c r="Z261" i="1"/>
  <c r="AA261" i="1"/>
  <c r="Z218" i="1"/>
  <c r="CH284" i="2"/>
  <c r="CH262" i="2"/>
  <c r="CH215" i="2"/>
  <c r="CG164" i="2"/>
  <c r="CF262" i="2"/>
  <c r="CF279" i="2"/>
  <c r="CF286" i="2"/>
  <c r="CG113" i="2"/>
  <c r="CH113" i="2"/>
  <c r="CG262" i="2"/>
  <c r="CH264" i="2"/>
  <c r="CE284" i="2"/>
  <c r="CG284" i="2"/>
  <c r="CE279" i="2"/>
  <c r="CE286" i="2"/>
  <c r="CE62" i="2"/>
  <c r="CG265" i="2"/>
  <c r="CF265" i="2"/>
  <c r="CH265" i="2"/>
  <c r="CE264" i="2"/>
  <c r="CF292" i="2"/>
  <c r="CG292" i="2"/>
  <c r="CF284" i="2"/>
  <c r="CH279" i="2"/>
  <c r="CH286" i="2"/>
  <c r="CE270" i="2"/>
  <c r="CF270" i="2"/>
  <c r="CH270" i="2"/>
  <c r="CH266" i="2"/>
  <c r="AB372" i="1"/>
  <c r="AB373" i="1"/>
  <c r="AB374" i="1"/>
  <c r="AC375" i="1"/>
  <c r="AC373" i="1"/>
  <c r="AC372" i="1"/>
  <c r="AC374" i="1"/>
  <c r="AB367" i="1"/>
  <c r="AA367" i="1"/>
  <c r="AA375" i="1"/>
  <c r="AA374" i="1"/>
  <c r="AA373" i="1"/>
  <c r="AA372" i="1"/>
  <c r="CF266" i="2"/>
  <c r="Z367" i="1"/>
  <c r="Z373" i="1"/>
  <c r="Z374" i="1"/>
  <c r="Z375" i="1"/>
  <c r="Z372" i="1"/>
  <c r="CE266" i="2"/>
  <c r="Y267" i="1"/>
  <c r="Y206" i="1"/>
  <c r="Y155" i="1"/>
  <c r="Y4" i="1"/>
  <c r="CD305" i="2"/>
  <c r="Z376" i="1"/>
  <c r="U64" i="3"/>
  <c r="U54" i="3"/>
  <c r="U52" i="3"/>
  <c r="U48" i="3"/>
  <c r="U46" i="3"/>
  <c r="U42" i="3"/>
  <c r="U28" i="3"/>
  <c r="U25" i="3"/>
  <c r="Y366" i="1"/>
  <c r="Y365" i="1"/>
  <c r="Y363" i="1"/>
  <c r="Y362" i="1"/>
  <c r="Y361" i="1"/>
  <c r="Y360" i="1"/>
  <c r="Y354" i="1"/>
  <c r="Y357" i="1"/>
  <c r="Y344" i="1"/>
  <c r="Y347" i="1"/>
  <c r="Y334" i="1"/>
  <c r="Y337" i="1"/>
  <c r="Y324" i="1"/>
  <c r="Y327" i="1"/>
  <c r="Y314" i="1"/>
  <c r="Y317" i="1"/>
  <c r="Y303" i="1"/>
  <c r="Y301" i="1"/>
  <c r="Y297" i="1"/>
  <c r="Y295" i="1"/>
  <c r="Y290" i="1"/>
  <c r="Y279" i="1"/>
  <c r="Y284" i="1"/>
  <c r="Y268" i="1"/>
  <c r="Y269" i="1"/>
  <c r="Y260" i="1"/>
  <c r="Y259" i="1"/>
  <c r="Y257" i="1"/>
  <c r="Y252" i="1"/>
  <c r="Y250" i="1"/>
  <c r="Y246" i="1"/>
  <c r="Y244" i="1"/>
  <c r="Y239" i="1"/>
  <c r="Y228" i="1"/>
  <c r="Y233" i="1"/>
  <c r="Y218" i="1"/>
  <c r="Y210" i="1"/>
  <c r="Y201" i="1"/>
  <c r="Y199" i="1"/>
  <c r="Y195" i="1"/>
  <c r="Y193" i="1"/>
  <c r="Y188" i="1"/>
  <c r="Y177" i="1"/>
  <c r="Y182" i="1"/>
  <c r="Y167" i="1"/>
  <c r="Y159" i="1"/>
  <c r="Y150" i="1"/>
  <c r="Y148" i="1"/>
  <c r="Y144" i="1"/>
  <c r="Y142" i="1"/>
  <c r="Y137" i="1"/>
  <c r="Y126" i="1"/>
  <c r="Y131" i="1"/>
  <c r="Y116" i="1"/>
  <c r="Y112" i="1"/>
  <c r="Y108" i="1"/>
  <c r="Y120" i="1"/>
  <c r="Y100" i="1"/>
  <c r="Y98" i="1"/>
  <c r="Y94" i="1"/>
  <c r="Y92" i="1"/>
  <c r="Y87" i="1"/>
  <c r="Y76" i="1"/>
  <c r="Y81" i="1"/>
  <c r="Y66" i="1"/>
  <c r="Y62" i="1"/>
  <c r="Y58" i="1"/>
  <c r="Y70" i="1"/>
  <c r="Y50" i="1"/>
  <c r="Y48" i="1"/>
  <c r="Y44" i="1"/>
  <c r="Y42" i="1"/>
  <c r="Y37" i="1"/>
  <c r="Y26" i="1"/>
  <c r="Y31" i="1"/>
  <c r="Y16" i="1"/>
  <c r="Y12" i="1"/>
  <c r="Y8" i="1"/>
  <c r="Y20" i="1"/>
  <c r="U67" i="3"/>
  <c r="Y73" i="3"/>
  <c r="U69" i="3"/>
  <c r="U70" i="3"/>
  <c r="U31" i="3"/>
  <c r="U36" i="3"/>
  <c r="Y364" i="1"/>
  <c r="Y261" i="1"/>
  <c r="U73" i="3"/>
  <c r="Y367" i="1"/>
  <c r="Y375" i="1"/>
  <c r="Y374" i="1"/>
  <c r="Y372" i="1"/>
  <c r="Y373" i="1"/>
  <c r="CD301" i="2"/>
  <c r="CD292" i="2"/>
  <c r="CD283" i="2"/>
  <c r="CD282" i="2"/>
  <c r="CD278" i="2"/>
  <c r="CD277" i="2"/>
  <c r="CD276" i="2"/>
  <c r="CD269" i="2"/>
  <c r="CD268" i="2"/>
  <c r="CD261" i="2"/>
  <c r="CD260" i="2"/>
  <c r="CD258" i="2"/>
  <c r="CD257" i="2"/>
  <c r="CD252" i="2"/>
  <c r="CD250" i="2"/>
  <c r="CD244" i="2"/>
  <c r="CD242" i="2"/>
  <c r="CD233" i="2"/>
  <c r="CD238" i="2"/>
  <c r="CD228" i="2"/>
  <c r="CD219" i="2"/>
  <c r="CD211" i="2"/>
  <c r="CD201" i="2"/>
  <c r="CD199" i="2"/>
  <c r="CD193" i="2"/>
  <c r="CD191" i="2"/>
  <c r="CD182" i="2"/>
  <c r="CD187" i="2"/>
  <c r="CD177" i="2"/>
  <c r="CD168" i="2"/>
  <c r="CD160" i="2"/>
  <c r="CD150" i="2"/>
  <c r="CD148" i="2"/>
  <c r="CD142" i="2"/>
  <c r="CD140" i="2"/>
  <c r="CD131" i="2"/>
  <c r="CD136" i="2"/>
  <c r="CD126" i="2"/>
  <c r="CD117" i="2"/>
  <c r="CD109" i="2"/>
  <c r="CD99" i="2"/>
  <c r="CD97" i="2"/>
  <c r="CD91" i="2"/>
  <c r="CD89" i="2"/>
  <c r="CD80" i="2"/>
  <c r="CD85" i="2"/>
  <c r="CD75" i="2"/>
  <c r="CD66" i="2"/>
  <c r="CD58" i="2"/>
  <c r="CD49" i="2"/>
  <c r="CD47" i="2"/>
  <c r="CD41" i="2"/>
  <c r="CD39" i="2"/>
  <c r="CD30" i="2"/>
  <c r="CD35" i="2"/>
  <c r="CD25" i="2"/>
  <c r="CD16" i="2"/>
  <c r="CD8" i="2"/>
  <c r="Y376" i="1"/>
  <c r="AC376" i="1"/>
  <c r="CD164" i="2"/>
  <c r="CD12" i="2"/>
  <c r="CD298" i="2"/>
  <c r="CD300" i="2"/>
  <c r="CD113" i="2"/>
  <c r="CD284" i="2"/>
  <c r="CD215" i="2"/>
  <c r="CD265" i="2"/>
  <c r="CD279" i="2"/>
  <c r="CD286" i="2"/>
  <c r="CD270" i="2"/>
  <c r="CD266" i="2"/>
  <c r="CD264" i="2"/>
  <c r="CD262" i="2"/>
  <c r="CD62" i="2"/>
  <c r="CD290" i="2"/>
  <c r="X267" i="1"/>
  <c r="X268" i="1"/>
  <c r="X269" i="1"/>
  <c r="V217" i="1"/>
  <c r="U217" i="1"/>
  <c r="S217" i="1"/>
  <c r="R217" i="1"/>
  <c r="T217" i="1"/>
  <c r="W217" i="1"/>
  <c r="T64" i="3"/>
  <c r="T54" i="3"/>
  <c r="T52" i="3"/>
  <c r="T48" i="3"/>
  <c r="T46" i="3"/>
  <c r="T42" i="3"/>
  <c r="T28" i="3"/>
  <c r="T25" i="3"/>
  <c r="X366" i="1"/>
  <c r="X365" i="1"/>
  <c r="X363" i="1"/>
  <c r="X362" i="1"/>
  <c r="X361" i="1"/>
  <c r="X360" i="1"/>
  <c r="X354" i="1"/>
  <c r="X357" i="1"/>
  <c r="X344" i="1"/>
  <c r="X347" i="1"/>
  <c r="X334" i="1"/>
  <c r="X337" i="1"/>
  <c r="X324" i="1"/>
  <c r="X327" i="1"/>
  <c r="X314" i="1"/>
  <c r="X317" i="1"/>
  <c r="X303" i="1"/>
  <c r="X301" i="1"/>
  <c r="X297" i="1"/>
  <c r="X295" i="1"/>
  <c r="X290" i="1"/>
  <c r="X279" i="1"/>
  <c r="X284" i="1"/>
  <c r="X260" i="1"/>
  <c r="X259" i="1"/>
  <c r="X257" i="1"/>
  <c r="X252" i="1"/>
  <c r="X250" i="1"/>
  <c r="X246" i="1"/>
  <c r="X244" i="1"/>
  <c r="X239" i="1"/>
  <c r="X228" i="1"/>
  <c r="X233" i="1"/>
  <c r="X218" i="1"/>
  <c r="X210" i="1"/>
  <c r="X201" i="1"/>
  <c r="X199" i="1"/>
  <c r="X195" i="1"/>
  <c r="X193" i="1"/>
  <c r="X188" i="1"/>
  <c r="X177" i="1"/>
  <c r="X182" i="1"/>
  <c r="X167" i="1"/>
  <c r="X159" i="1"/>
  <c r="X150" i="1"/>
  <c r="X148" i="1"/>
  <c r="X144" i="1"/>
  <c r="X142" i="1"/>
  <c r="X137" i="1"/>
  <c r="X126" i="1"/>
  <c r="X131" i="1"/>
  <c r="X116" i="1"/>
  <c r="X112" i="1"/>
  <c r="X108" i="1"/>
  <c r="X120" i="1"/>
  <c r="X100" i="1"/>
  <c r="X98" i="1"/>
  <c r="X94" i="1"/>
  <c r="X92" i="1"/>
  <c r="X87" i="1"/>
  <c r="X76" i="1"/>
  <c r="X81" i="1"/>
  <c r="X66" i="1"/>
  <c r="X62" i="1"/>
  <c r="X58" i="1"/>
  <c r="X70" i="1"/>
  <c r="X50" i="1"/>
  <c r="X48" i="1"/>
  <c r="X44" i="1"/>
  <c r="X42" i="1"/>
  <c r="X37" i="1"/>
  <c r="X26" i="1"/>
  <c r="X31" i="1"/>
  <c r="X16" i="1"/>
  <c r="X12" i="1"/>
  <c r="X8" i="1"/>
  <c r="X20" i="1"/>
  <c r="CC305" i="2"/>
  <c r="CC301" i="2"/>
  <c r="CC298" i="2"/>
  <c r="CC283" i="2"/>
  <c r="CC282" i="2"/>
  <c r="CC278" i="2"/>
  <c r="CC277" i="2"/>
  <c r="CC276" i="2"/>
  <c r="CC269" i="2"/>
  <c r="CC268" i="2"/>
  <c r="CC261" i="2"/>
  <c r="CC260" i="2"/>
  <c r="CC258" i="2"/>
  <c r="CC257" i="2"/>
  <c r="CC252" i="2"/>
  <c r="CC250" i="2"/>
  <c r="CC244" i="2"/>
  <c r="CC242" i="2"/>
  <c r="CC233" i="2"/>
  <c r="CC238" i="2"/>
  <c r="CC228" i="2"/>
  <c r="CC219" i="2"/>
  <c r="CC211" i="2"/>
  <c r="CC201" i="2"/>
  <c r="CC199" i="2"/>
  <c r="CC193" i="2"/>
  <c r="CC191" i="2"/>
  <c r="CC182" i="2"/>
  <c r="CC187" i="2"/>
  <c r="CC177" i="2"/>
  <c r="CC168" i="2"/>
  <c r="CC160" i="2"/>
  <c r="CC150" i="2"/>
  <c r="CC148" i="2"/>
  <c r="CC142" i="2"/>
  <c r="CC140" i="2"/>
  <c r="CC131" i="2"/>
  <c r="CC136" i="2"/>
  <c r="CC126" i="2"/>
  <c r="CC117" i="2"/>
  <c r="CC109" i="2"/>
  <c r="CC99" i="2"/>
  <c r="CC97" i="2"/>
  <c r="CC91" i="2"/>
  <c r="CC89" i="2"/>
  <c r="CC80" i="2"/>
  <c r="CC85" i="2"/>
  <c r="CC75" i="2"/>
  <c r="CC66" i="2"/>
  <c r="CC58" i="2"/>
  <c r="CC49" i="2"/>
  <c r="CC47" i="2"/>
  <c r="CC41" i="2"/>
  <c r="CC39" i="2"/>
  <c r="CC30" i="2"/>
  <c r="CC35" i="2"/>
  <c r="CC25" i="2"/>
  <c r="CC16" i="2"/>
  <c r="CC8" i="2"/>
  <c r="CC113" i="2"/>
  <c r="CC215" i="2"/>
  <c r="CC62" i="2"/>
  <c r="CC164" i="2"/>
  <c r="T67" i="3"/>
  <c r="CC12" i="2"/>
  <c r="CC300" i="2"/>
  <c r="T69" i="3"/>
  <c r="T70" i="3"/>
  <c r="T31" i="3"/>
  <c r="T36" i="3"/>
  <c r="X364" i="1"/>
  <c r="X261" i="1"/>
  <c r="CC279" i="2"/>
  <c r="CC286" i="2"/>
  <c r="CC265" i="2"/>
  <c r="CC284" i="2"/>
  <c r="CC270" i="2"/>
  <c r="CC266" i="2"/>
  <c r="CC262" i="2"/>
  <c r="CC264" i="2"/>
  <c r="CC290" i="2"/>
  <c r="CC292" i="2"/>
  <c r="N25" i="3"/>
  <c r="O25" i="3"/>
  <c r="P25" i="3"/>
  <c r="Q25" i="3"/>
  <c r="U297" i="1"/>
  <c r="T73" i="3"/>
  <c r="X73" i="3"/>
  <c r="X367" i="1"/>
  <c r="X374" i="1"/>
  <c r="X373" i="1"/>
  <c r="X375" i="1"/>
  <c r="X372" i="1"/>
  <c r="AB376" i="1"/>
  <c r="X376" i="1"/>
  <c r="W366" i="1"/>
  <c r="W365" i="1"/>
  <c r="S64" i="3"/>
  <c r="S54" i="3"/>
  <c r="S52" i="3"/>
  <c r="S48" i="3"/>
  <c r="S46" i="3"/>
  <c r="S42" i="3"/>
  <c r="S28" i="3"/>
  <c r="S25" i="3"/>
  <c r="W218" i="1"/>
  <c r="W363" i="1"/>
  <c r="W362" i="1"/>
  <c r="W361" i="1"/>
  <c r="W354" i="1"/>
  <c r="W357" i="1"/>
  <c r="W344" i="1"/>
  <c r="W347" i="1"/>
  <c r="W334" i="1"/>
  <c r="W337" i="1"/>
  <c r="W324" i="1"/>
  <c r="W327" i="1"/>
  <c r="W360" i="1"/>
  <c r="W303" i="1"/>
  <c r="W301" i="1"/>
  <c r="W297" i="1"/>
  <c r="W295" i="1"/>
  <c r="W290" i="1"/>
  <c r="W279" i="1"/>
  <c r="W284" i="1"/>
  <c r="W268" i="1"/>
  <c r="W267" i="1"/>
  <c r="W260" i="1"/>
  <c r="W259" i="1"/>
  <c r="W252" i="1"/>
  <c r="W250" i="1"/>
  <c r="W246" i="1"/>
  <c r="W244" i="1"/>
  <c r="W239" i="1"/>
  <c r="W228" i="1"/>
  <c r="W233" i="1"/>
  <c r="W210" i="1"/>
  <c r="W201" i="1"/>
  <c r="W199" i="1"/>
  <c r="W195" i="1"/>
  <c r="W193" i="1"/>
  <c r="W188" i="1"/>
  <c r="W177" i="1"/>
  <c r="W182" i="1"/>
  <c r="W167" i="1"/>
  <c r="W159" i="1"/>
  <c r="W150" i="1"/>
  <c r="W148" i="1"/>
  <c r="W144" i="1"/>
  <c r="W142" i="1"/>
  <c r="W137" i="1"/>
  <c r="W126" i="1"/>
  <c r="W131" i="1"/>
  <c r="W116" i="1"/>
  <c r="W112" i="1"/>
  <c r="W108" i="1"/>
  <c r="W120" i="1"/>
  <c r="W100" i="1"/>
  <c r="W98" i="1"/>
  <c r="W94" i="1"/>
  <c r="W92" i="1"/>
  <c r="W87" i="1"/>
  <c r="W76" i="1"/>
  <c r="W81" i="1"/>
  <c r="W66" i="1"/>
  <c r="W62" i="1"/>
  <c r="W58" i="1"/>
  <c r="W70" i="1"/>
  <c r="W50" i="1"/>
  <c r="W48" i="1"/>
  <c r="W44" i="1"/>
  <c r="W42" i="1"/>
  <c r="W37" i="1"/>
  <c r="W26" i="1"/>
  <c r="W31" i="1"/>
  <c r="W16" i="1"/>
  <c r="W12" i="1"/>
  <c r="W8" i="1"/>
  <c r="W20" i="1"/>
  <c r="W257" i="1"/>
  <c r="CB305" i="2"/>
  <c r="CB301" i="2"/>
  <c r="CB298" i="2"/>
  <c r="CB283" i="2"/>
  <c r="CB282" i="2"/>
  <c r="CB278" i="2"/>
  <c r="CB277" i="2"/>
  <c r="CB276" i="2"/>
  <c r="CB269" i="2"/>
  <c r="CB268" i="2"/>
  <c r="CB261" i="2"/>
  <c r="CB260" i="2"/>
  <c r="CB258" i="2"/>
  <c r="CB252" i="2"/>
  <c r="CB250" i="2"/>
  <c r="CB244" i="2"/>
  <c r="CB242" i="2"/>
  <c r="CB233" i="2"/>
  <c r="CB238" i="2"/>
  <c r="CB228" i="2"/>
  <c r="CB219" i="2"/>
  <c r="CB211" i="2"/>
  <c r="CB201" i="2"/>
  <c r="CB199" i="2"/>
  <c r="CB193" i="2"/>
  <c r="CB191" i="2"/>
  <c r="CB182" i="2"/>
  <c r="CB187" i="2"/>
  <c r="CB177" i="2"/>
  <c r="CB168" i="2"/>
  <c r="CB160" i="2"/>
  <c r="CB150" i="2"/>
  <c r="CB148" i="2"/>
  <c r="CB142" i="2"/>
  <c r="CB140" i="2"/>
  <c r="CB131" i="2"/>
  <c r="CB136" i="2"/>
  <c r="CB126" i="2"/>
  <c r="CB117" i="2"/>
  <c r="CB109" i="2"/>
  <c r="CB99" i="2"/>
  <c r="CB97" i="2"/>
  <c r="CB91" i="2"/>
  <c r="CB89" i="2"/>
  <c r="CB80" i="2"/>
  <c r="CB85" i="2"/>
  <c r="CB75" i="2"/>
  <c r="CB66" i="2"/>
  <c r="CB58" i="2"/>
  <c r="CB257" i="2"/>
  <c r="CB49" i="2"/>
  <c r="CB47" i="2"/>
  <c r="CB41" i="2"/>
  <c r="CB39" i="2"/>
  <c r="CB30" i="2"/>
  <c r="CB35" i="2"/>
  <c r="CB25" i="2"/>
  <c r="CB16" i="2"/>
  <c r="CB8" i="2"/>
  <c r="CB113" i="2"/>
  <c r="CB62" i="2"/>
  <c r="CB164" i="2"/>
  <c r="CB215" i="2"/>
  <c r="S67" i="3"/>
  <c r="CB12" i="2"/>
  <c r="S69" i="3"/>
  <c r="S70" i="3"/>
  <c r="S73" i="3"/>
  <c r="S31" i="3"/>
  <c r="S36" i="3"/>
  <c r="W261" i="1"/>
  <c r="W269" i="1"/>
  <c r="W364" i="1"/>
  <c r="W314" i="1"/>
  <c r="W317" i="1"/>
  <c r="CB262" i="2"/>
  <c r="CB290" i="2"/>
  <c r="CB292" i="2"/>
  <c r="CB300" i="2"/>
  <c r="CB284" i="2"/>
  <c r="CB279" i="2"/>
  <c r="CB286" i="2"/>
  <c r="CB265" i="2"/>
  <c r="CB270" i="2"/>
  <c r="CB266" i="2"/>
  <c r="CB264" i="2"/>
  <c r="W73" i="3"/>
  <c r="W372" i="1"/>
  <c r="W367" i="1"/>
  <c r="W375" i="1"/>
  <c r="W374" i="1"/>
  <c r="W373" i="1"/>
  <c r="V268" i="1"/>
  <c r="V206" i="1"/>
  <c r="V155" i="1"/>
  <c r="V4" i="1"/>
  <c r="CA104" i="2"/>
  <c r="CA257" i="2"/>
  <c r="CA53" i="2"/>
  <c r="CA3" i="2"/>
  <c r="R25" i="3"/>
  <c r="R28" i="3"/>
  <c r="R42" i="3"/>
  <c r="R46" i="3"/>
  <c r="R48" i="3"/>
  <c r="R52" i="3"/>
  <c r="R54" i="3"/>
  <c r="R64" i="3"/>
  <c r="R67" i="3"/>
  <c r="V8" i="1"/>
  <c r="V20" i="1"/>
  <c r="V12" i="1"/>
  <c r="V16" i="1"/>
  <c r="V26" i="1"/>
  <c r="V31" i="1"/>
  <c r="V37" i="1"/>
  <c r="V42" i="1"/>
  <c r="V44" i="1"/>
  <c r="V48" i="1"/>
  <c r="V50" i="1"/>
  <c r="V58" i="1"/>
  <c r="V70" i="1"/>
  <c r="V62" i="1"/>
  <c r="V66" i="1"/>
  <c r="V76" i="1"/>
  <c r="V81" i="1"/>
  <c r="V87" i="1"/>
  <c r="V92" i="1"/>
  <c r="V94" i="1"/>
  <c r="V98" i="1"/>
  <c r="V100" i="1"/>
  <c r="V108" i="1"/>
  <c r="V120" i="1"/>
  <c r="V112" i="1"/>
  <c r="V116" i="1"/>
  <c r="V126" i="1"/>
  <c r="V131" i="1"/>
  <c r="V137" i="1"/>
  <c r="V142" i="1"/>
  <c r="V144" i="1"/>
  <c r="V148" i="1"/>
  <c r="V150" i="1"/>
  <c r="V159" i="1"/>
  <c r="V167" i="1"/>
  <c r="V177" i="1"/>
  <c r="V182" i="1"/>
  <c r="V188" i="1"/>
  <c r="V193" i="1"/>
  <c r="V195" i="1"/>
  <c r="V199" i="1"/>
  <c r="V201" i="1"/>
  <c r="V210" i="1"/>
  <c r="V218" i="1"/>
  <c r="V228" i="1"/>
  <c r="V233" i="1"/>
  <c r="V239" i="1"/>
  <c r="V244" i="1"/>
  <c r="V246" i="1"/>
  <c r="V250" i="1"/>
  <c r="V252" i="1"/>
  <c r="V259" i="1"/>
  <c r="V260" i="1"/>
  <c r="V267" i="1"/>
  <c r="V279" i="1"/>
  <c r="V284" i="1"/>
  <c r="V290" i="1"/>
  <c r="V295" i="1"/>
  <c r="V297" i="1"/>
  <c r="V301" i="1"/>
  <c r="V303" i="1"/>
  <c r="V314" i="1"/>
  <c r="V317" i="1"/>
  <c r="V324" i="1"/>
  <c r="V327" i="1"/>
  <c r="V334" i="1"/>
  <c r="V337" i="1"/>
  <c r="V344" i="1"/>
  <c r="V347" i="1"/>
  <c r="V361" i="1"/>
  <c r="V363" i="1"/>
  <c r="V354" i="1"/>
  <c r="V357" i="1"/>
  <c r="V360" i="1"/>
  <c r="V362" i="1"/>
  <c r="V365" i="1"/>
  <c r="V366" i="1"/>
  <c r="CA8" i="2"/>
  <c r="CA16" i="2"/>
  <c r="CA30" i="2"/>
  <c r="CA35" i="2"/>
  <c r="CA39" i="2"/>
  <c r="CA41" i="2"/>
  <c r="CA47" i="2"/>
  <c r="CA49" i="2"/>
  <c r="CA58" i="2"/>
  <c r="CA60" i="2"/>
  <c r="CA61" i="2"/>
  <c r="CA66" i="2"/>
  <c r="CA80" i="2"/>
  <c r="CA85" i="2"/>
  <c r="CA89" i="2"/>
  <c r="CA91" i="2"/>
  <c r="CA97" i="2"/>
  <c r="CA99" i="2"/>
  <c r="CA109" i="2"/>
  <c r="CA111" i="2"/>
  <c r="CA112" i="2"/>
  <c r="CA117" i="2"/>
  <c r="CA126" i="2"/>
  <c r="CA131" i="2"/>
  <c r="CA136" i="2"/>
  <c r="CA140" i="2"/>
  <c r="CA142" i="2"/>
  <c r="CA148" i="2"/>
  <c r="CA150" i="2"/>
  <c r="CA160" i="2"/>
  <c r="CA163" i="2"/>
  <c r="CA168" i="2"/>
  <c r="CA177" i="2"/>
  <c r="CA182" i="2"/>
  <c r="CA187" i="2"/>
  <c r="CA191" i="2"/>
  <c r="CA193" i="2"/>
  <c r="CA199" i="2"/>
  <c r="CA201" i="2"/>
  <c r="CA211" i="2"/>
  <c r="CA214" i="2"/>
  <c r="CA219" i="2"/>
  <c r="CA228" i="2"/>
  <c r="CA233" i="2"/>
  <c r="CA238" i="2"/>
  <c r="CA242" i="2"/>
  <c r="CA244" i="2"/>
  <c r="CA250" i="2"/>
  <c r="CA252" i="2"/>
  <c r="CA258" i="2"/>
  <c r="CA260" i="2"/>
  <c r="CA261" i="2"/>
  <c r="CA268" i="2"/>
  <c r="CA269" i="2"/>
  <c r="CA276" i="2"/>
  <c r="CA277" i="2"/>
  <c r="CA278" i="2"/>
  <c r="CA282" i="2"/>
  <c r="CA283" i="2"/>
  <c r="CA301" i="2"/>
  <c r="CA300" i="2"/>
  <c r="CA305" i="2"/>
  <c r="CA164" i="2"/>
  <c r="V257" i="1"/>
  <c r="R69" i="3"/>
  <c r="R70" i="3"/>
  <c r="R73" i="3"/>
  <c r="AA376" i="1"/>
  <c r="CA292" i="2"/>
  <c r="CA290" i="2"/>
  <c r="CA298" i="2"/>
  <c r="CA12" i="2"/>
  <c r="W376" i="1"/>
  <c r="CA215" i="2"/>
  <c r="R31" i="3"/>
  <c r="R36" i="3"/>
  <c r="V269" i="1"/>
  <c r="V261" i="1"/>
  <c r="V376" i="1"/>
  <c r="V364" i="1"/>
  <c r="V367" i="1"/>
  <c r="CA113" i="2"/>
  <c r="CA265" i="2"/>
  <c r="CA62" i="2"/>
  <c r="CA284" i="2"/>
  <c r="CA279" i="2"/>
  <c r="CA286" i="2"/>
  <c r="CA270" i="2"/>
  <c r="CA262" i="2"/>
  <c r="CA264" i="2"/>
  <c r="U237" i="1"/>
  <c r="CA266" i="2"/>
  <c r="BZ199" i="2"/>
  <c r="U206" i="1"/>
  <c r="U155" i="1"/>
  <c r="U4" i="1"/>
  <c r="BZ104" i="2"/>
  <c r="BZ53" i="2"/>
  <c r="BZ3" i="2"/>
  <c r="U353" i="1"/>
  <c r="U352" i="1"/>
  <c r="U351" i="1"/>
  <c r="U350" i="1"/>
  <c r="Q61" i="3"/>
  <c r="Q60" i="3"/>
  <c r="Q10" i="3"/>
  <c r="U252" i="1"/>
  <c r="U363" i="1"/>
  <c r="U362" i="1"/>
  <c r="U361" i="1"/>
  <c r="U354" i="1"/>
  <c r="U357" i="1"/>
  <c r="U344" i="1"/>
  <c r="U347" i="1"/>
  <c r="U334" i="1"/>
  <c r="U337" i="1"/>
  <c r="U324" i="1"/>
  <c r="U327" i="1"/>
  <c r="U366" i="1"/>
  <c r="U365" i="1"/>
  <c r="U360" i="1"/>
  <c r="U303" i="1"/>
  <c r="U301" i="1"/>
  <c r="U295" i="1"/>
  <c r="U290" i="1"/>
  <c r="U279" i="1"/>
  <c r="U284" i="1"/>
  <c r="U268" i="1"/>
  <c r="U267" i="1"/>
  <c r="U260" i="1"/>
  <c r="U259" i="1"/>
  <c r="U250" i="1"/>
  <c r="U246" i="1"/>
  <c r="U244" i="1"/>
  <c r="U239" i="1"/>
  <c r="U228" i="1"/>
  <c r="U233" i="1"/>
  <c r="U218" i="1"/>
  <c r="U210" i="1"/>
  <c r="U201" i="1"/>
  <c r="U199" i="1"/>
  <c r="U195" i="1"/>
  <c r="U193" i="1"/>
  <c r="U188" i="1"/>
  <c r="U177" i="1"/>
  <c r="U182" i="1"/>
  <c r="U167" i="1"/>
  <c r="U159" i="1"/>
  <c r="U257" i="1"/>
  <c r="U150" i="1"/>
  <c r="U148" i="1"/>
  <c r="U144" i="1"/>
  <c r="U142" i="1"/>
  <c r="U137" i="1"/>
  <c r="U126" i="1"/>
  <c r="U131" i="1"/>
  <c r="U116" i="1"/>
  <c r="U112" i="1"/>
  <c r="U108" i="1"/>
  <c r="U120" i="1"/>
  <c r="U100" i="1"/>
  <c r="U98" i="1"/>
  <c r="U94" i="1"/>
  <c r="U92" i="1"/>
  <c r="U87" i="1"/>
  <c r="U76" i="1"/>
  <c r="U81" i="1"/>
  <c r="U66" i="1"/>
  <c r="U62" i="1"/>
  <c r="U58" i="1"/>
  <c r="U70" i="1"/>
  <c r="U50" i="1"/>
  <c r="U48" i="1"/>
  <c r="U44" i="1"/>
  <c r="U42" i="1"/>
  <c r="U37" i="1"/>
  <c r="U26" i="1"/>
  <c r="U31" i="1"/>
  <c r="U16" i="1"/>
  <c r="U12" i="1"/>
  <c r="U8" i="1"/>
  <c r="U20" i="1"/>
  <c r="Q64" i="3"/>
  <c r="Q54" i="3"/>
  <c r="Q52" i="3"/>
  <c r="Q48" i="3"/>
  <c r="Q46" i="3"/>
  <c r="Q42" i="3"/>
  <c r="Q28" i="3"/>
  <c r="BZ30" i="2"/>
  <c r="BZ35" i="2"/>
  <c r="BZ305" i="2"/>
  <c r="BZ301" i="2"/>
  <c r="BZ300" i="2"/>
  <c r="BZ292" i="2"/>
  <c r="BZ290" i="2"/>
  <c r="BZ283" i="2"/>
  <c r="BZ282" i="2"/>
  <c r="BZ278" i="2"/>
  <c r="BZ277" i="2"/>
  <c r="BZ276" i="2"/>
  <c r="BZ269" i="2"/>
  <c r="BZ268" i="2"/>
  <c r="BZ261" i="2"/>
  <c r="BZ260" i="2"/>
  <c r="BZ258" i="2"/>
  <c r="BZ252" i="2"/>
  <c r="BZ250" i="2"/>
  <c r="BZ244" i="2"/>
  <c r="BZ242" i="2"/>
  <c r="BZ233" i="2"/>
  <c r="BZ238" i="2"/>
  <c r="BZ228" i="2"/>
  <c r="BZ219" i="2"/>
  <c r="BZ214" i="2"/>
  <c r="BZ211" i="2"/>
  <c r="BZ201" i="2"/>
  <c r="BZ193" i="2"/>
  <c r="BZ191" i="2"/>
  <c r="BZ182" i="2"/>
  <c r="BZ187" i="2"/>
  <c r="BZ177" i="2"/>
  <c r="BZ168" i="2"/>
  <c r="BZ163" i="2"/>
  <c r="BZ160" i="2"/>
  <c r="BZ150" i="2"/>
  <c r="BZ148" i="2"/>
  <c r="BZ142" i="2"/>
  <c r="BZ140" i="2"/>
  <c r="BZ131" i="2"/>
  <c r="BZ136" i="2"/>
  <c r="BZ126" i="2"/>
  <c r="BZ117" i="2"/>
  <c r="BZ112" i="2"/>
  <c r="BZ111" i="2"/>
  <c r="BZ109" i="2"/>
  <c r="BZ99" i="2"/>
  <c r="BZ97" i="2"/>
  <c r="BZ91" i="2"/>
  <c r="BZ89" i="2"/>
  <c r="BZ80" i="2"/>
  <c r="BZ85" i="2"/>
  <c r="BZ75" i="2"/>
  <c r="BZ66" i="2"/>
  <c r="BZ61" i="2"/>
  <c r="BZ60" i="2"/>
  <c r="BZ58" i="2"/>
  <c r="BZ257" i="2"/>
  <c r="BZ49" i="2"/>
  <c r="BZ47" i="2"/>
  <c r="BZ41" i="2"/>
  <c r="BZ39" i="2"/>
  <c r="BZ25" i="2"/>
  <c r="BZ16" i="2"/>
  <c r="BZ8" i="2"/>
  <c r="BZ284" i="2"/>
  <c r="Q31" i="3"/>
  <c r="Q36" i="3"/>
  <c r="Q67" i="3"/>
  <c r="Q70" i="3"/>
  <c r="Q69" i="3"/>
  <c r="Q73" i="3"/>
  <c r="U261" i="1"/>
  <c r="U269" i="1"/>
  <c r="U364" i="1"/>
  <c r="U314" i="1"/>
  <c r="U317" i="1"/>
  <c r="BZ215" i="2"/>
  <c r="BZ164" i="2"/>
  <c r="BZ113" i="2"/>
  <c r="BZ265" i="2"/>
  <c r="BZ279" i="2"/>
  <c r="BZ286" i="2"/>
  <c r="BZ270" i="2"/>
  <c r="BZ264" i="2"/>
  <c r="BZ262" i="2"/>
  <c r="BZ12" i="2"/>
  <c r="BZ298" i="2"/>
  <c r="BZ62" i="2"/>
  <c r="F383" i="1"/>
  <c r="U367" i="1"/>
  <c r="U373" i="1"/>
  <c r="U374" i="1"/>
  <c r="U375" i="1"/>
  <c r="U372" i="1"/>
  <c r="BZ266" i="2"/>
  <c r="T326" i="1"/>
  <c r="T325" i="1"/>
  <c r="T323" i="1"/>
  <c r="T322" i="1"/>
  <c r="T321" i="1"/>
  <c r="T320" i="1"/>
  <c r="T316" i="1"/>
  <c r="T315" i="1"/>
  <c r="T313" i="1"/>
  <c r="T312" i="1"/>
  <c r="T311" i="1"/>
  <c r="T310" i="1"/>
  <c r="T206" i="1"/>
  <c r="T155" i="1"/>
  <c r="T4" i="1"/>
  <c r="U376" i="1"/>
  <c r="BY258" i="2"/>
  <c r="BY104" i="2"/>
  <c r="BY53" i="2"/>
  <c r="BY3" i="2"/>
  <c r="BY257" i="2"/>
  <c r="P64" i="3"/>
  <c r="P54" i="3"/>
  <c r="P52" i="3"/>
  <c r="P48" i="3"/>
  <c r="P46" i="3"/>
  <c r="P42" i="3"/>
  <c r="P28" i="3"/>
  <c r="BY305" i="2"/>
  <c r="BY301" i="2"/>
  <c r="BY300" i="2"/>
  <c r="BY283" i="2"/>
  <c r="BY282" i="2"/>
  <c r="BY278" i="2"/>
  <c r="BY277" i="2"/>
  <c r="BY276" i="2"/>
  <c r="BY269" i="2"/>
  <c r="BY268" i="2"/>
  <c r="BY261" i="2"/>
  <c r="BY260" i="2"/>
  <c r="BY252" i="2"/>
  <c r="BY250" i="2"/>
  <c r="BY244" i="2"/>
  <c r="BY242" i="2"/>
  <c r="BY233" i="2"/>
  <c r="BY238" i="2"/>
  <c r="BY228" i="2"/>
  <c r="BY219" i="2"/>
  <c r="BY214" i="2"/>
  <c r="BY211" i="2"/>
  <c r="BY201" i="2"/>
  <c r="BY199" i="2"/>
  <c r="BY193" i="2"/>
  <c r="BY191" i="2"/>
  <c r="BY182" i="2"/>
  <c r="BY187" i="2"/>
  <c r="BY177" i="2"/>
  <c r="BY168" i="2"/>
  <c r="BY163" i="2"/>
  <c r="BY160" i="2"/>
  <c r="BY150" i="2"/>
  <c r="BY148" i="2"/>
  <c r="BY142" i="2"/>
  <c r="BY140" i="2"/>
  <c r="BY131" i="2"/>
  <c r="BY136" i="2"/>
  <c r="BY126" i="2"/>
  <c r="BY117" i="2"/>
  <c r="BY112" i="2"/>
  <c r="BY111" i="2"/>
  <c r="BY109" i="2"/>
  <c r="BY99" i="2"/>
  <c r="BY97" i="2"/>
  <c r="BY91" i="2"/>
  <c r="BY89" i="2"/>
  <c r="BY80" i="2"/>
  <c r="BY85" i="2"/>
  <c r="BY75" i="2"/>
  <c r="BY66" i="2"/>
  <c r="BY61" i="2"/>
  <c r="BY60" i="2"/>
  <c r="BY58" i="2"/>
  <c r="BY49" i="2"/>
  <c r="BY47" i="2"/>
  <c r="BY41" i="2"/>
  <c r="BY39" i="2"/>
  <c r="BY30" i="2"/>
  <c r="BY35" i="2"/>
  <c r="BY25" i="2"/>
  <c r="BY16" i="2"/>
  <c r="BY8" i="2"/>
  <c r="T257" i="1"/>
  <c r="T366" i="1"/>
  <c r="T365" i="1"/>
  <c r="T354" i="1"/>
  <c r="T357" i="1"/>
  <c r="T363" i="1"/>
  <c r="T362" i="1"/>
  <c r="T344" i="1"/>
  <c r="T347" i="1"/>
  <c r="T334" i="1"/>
  <c r="T337" i="1"/>
  <c r="T324" i="1"/>
  <c r="T327" i="1"/>
  <c r="T360" i="1"/>
  <c r="T303" i="1"/>
  <c r="T301" i="1"/>
  <c r="T297" i="1"/>
  <c r="T295" i="1"/>
  <c r="T290" i="1"/>
  <c r="T279" i="1"/>
  <c r="T284" i="1"/>
  <c r="T268" i="1"/>
  <c r="T267" i="1"/>
  <c r="T260" i="1"/>
  <c r="T259" i="1"/>
  <c r="T252" i="1"/>
  <c r="T250" i="1"/>
  <c r="T246" i="1"/>
  <c r="T244" i="1"/>
  <c r="T239" i="1"/>
  <c r="T228" i="1"/>
  <c r="T233" i="1"/>
  <c r="T218" i="1"/>
  <c r="T210" i="1"/>
  <c r="T201" i="1"/>
  <c r="T199" i="1"/>
  <c r="T195" i="1"/>
  <c r="T193" i="1"/>
  <c r="T188" i="1"/>
  <c r="T177" i="1"/>
  <c r="T182" i="1"/>
  <c r="T167" i="1"/>
  <c r="T159" i="1"/>
  <c r="T150" i="1"/>
  <c r="T148" i="1"/>
  <c r="T144" i="1"/>
  <c r="T142" i="1"/>
  <c r="T137" i="1"/>
  <c r="T126" i="1"/>
  <c r="T131" i="1"/>
  <c r="T116" i="1"/>
  <c r="T112" i="1"/>
  <c r="T108" i="1"/>
  <c r="T120" i="1"/>
  <c r="T100" i="1"/>
  <c r="T98" i="1"/>
  <c r="T94" i="1"/>
  <c r="T92" i="1"/>
  <c r="T87" i="1"/>
  <c r="T76" i="1"/>
  <c r="T81" i="1"/>
  <c r="T66" i="1"/>
  <c r="T62" i="1"/>
  <c r="T58" i="1"/>
  <c r="T70" i="1"/>
  <c r="T50" i="1"/>
  <c r="T48" i="1"/>
  <c r="T44" i="1"/>
  <c r="T42" i="1"/>
  <c r="T37" i="1"/>
  <c r="T26" i="1"/>
  <c r="T31" i="1"/>
  <c r="T16" i="1"/>
  <c r="T12" i="1"/>
  <c r="T8" i="1"/>
  <c r="T20" i="1"/>
  <c r="P67" i="3"/>
  <c r="P70" i="3"/>
  <c r="P69" i="3"/>
  <c r="BY62" i="2"/>
  <c r="P73" i="3"/>
  <c r="P31" i="3"/>
  <c r="P36" i="3"/>
  <c r="BY215" i="2"/>
  <c r="BY164" i="2"/>
  <c r="BY290" i="2"/>
  <c r="BY292" i="2"/>
  <c r="BY284" i="2"/>
  <c r="BY279" i="2"/>
  <c r="BY286" i="2"/>
  <c r="BY270" i="2"/>
  <c r="BY265" i="2"/>
  <c r="BY12" i="2"/>
  <c r="BY264" i="2"/>
  <c r="BY262" i="2"/>
  <c r="BY113" i="2"/>
  <c r="BY298" i="2"/>
  <c r="T261" i="1"/>
  <c r="T269" i="1"/>
  <c r="T361" i="1"/>
  <c r="T314" i="1"/>
  <c r="T317" i="1"/>
  <c r="T364" i="1"/>
  <c r="T373" i="1"/>
  <c r="BY266" i="2"/>
  <c r="T367" i="1"/>
  <c r="T372" i="1"/>
  <c r="T374" i="1"/>
  <c r="T375" i="1"/>
  <c r="S356" i="1"/>
  <c r="S355" i="1"/>
  <c r="S351" i="1"/>
  <c r="S350" i="1"/>
  <c r="S353" i="1"/>
  <c r="S352" i="1"/>
  <c r="T376" i="1"/>
  <c r="R279" i="1"/>
  <c r="S362" i="1"/>
  <c r="S341" i="1"/>
  <c r="S310" i="1"/>
  <c r="S237" i="1"/>
  <c r="S4" i="1"/>
  <c r="BX104" i="2"/>
  <c r="BX53" i="2"/>
  <c r="BX3" i="2"/>
  <c r="O64" i="3"/>
  <c r="O54" i="3"/>
  <c r="O52" i="3"/>
  <c r="O48" i="3"/>
  <c r="O46" i="3"/>
  <c r="O42" i="3"/>
  <c r="O28" i="3"/>
  <c r="S44" i="1"/>
  <c r="S365" i="1"/>
  <c r="S366" i="1"/>
  <c r="S363" i="1"/>
  <c r="S354" i="1"/>
  <c r="S357" i="1"/>
  <c r="S344" i="1"/>
  <c r="S347" i="1"/>
  <c r="S334" i="1"/>
  <c r="S337" i="1"/>
  <c r="S324" i="1"/>
  <c r="S327" i="1"/>
  <c r="S361" i="1"/>
  <c r="S360" i="1"/>
  <c r="S303" i="1"/>
  <c r="S301" i="1"/>
  <c r="S297" i="1"/>
  <c r="S295" i="1"/>
  <c r="S290" i="1"/>
  <c r="S268" i="1"/>
  <c r="S267" i="1"/>
  <c r="S260" i="1"/>
  <c r="S259" i="1"/>
  <c r="S252" i="1"/>
  <c r="S250" i="1"/>
  <c r="S246" i="1"/>
  <c r="S244" i="1"/>
  <c r="S239" i="1"/>
  <c r="S228" i="1"/>
  <c r="S233" i="1"/>
  <c r="S218" i="1"/>
  <c r="S210" i="1"/>
  <c r="S201" i="1"/>
  <c r="S199" i="1"/>
  <c r="S195" i="1"/>
  <c r="S193" i="1"/>
  <c r="S188" i="1"/>
  <c r="S177" i="1"/>
  <c r="S182" i="1"/>
  <c r="S167" i="1"/>
  <c r="S159" i="1"/>
  <c r="S150" i="1"/>
  <c r="S148" i="1"/>
  <c r="S144" i="1"/>
  <c r="S142" i="1"/>
  <c r="S137" i="1"/>
  <c r="S126" i="1"/>
  <c r="S131" i="1"/>
  <c r="S116" i="1"/>
  <c r="S112" i="1"/>
  <c r="S108" i="1"/>
  <c r="S120" i="1"/>
  <c r="S100" i="1"/>
  <c r="S98" i="1"/>
  <c r="S94" i="1"/>
  <c r="S92" i="1"/>
  <c r="S87" i="1"/>
  <c r="S76" i="1"/>
  <c r="S81" i="1"/>
  <c r="S66" i="1"/>
  <c r="S62" i="1"/>
  <c r="S58" i="1"/>
  <c r="S70" i="1"/>
  <c r="S50" i="1"/>
  <c r="S48" i="1"/>
  <c r="S42" i="1"/>
  <c r="S37" i="1"/>
  <c r="S26" i="1"/>
  <c r="S31" i="1"/>
  <c r="S16" i="1"/>
  <c r="S12" i="1"/>
  <c r="S8" i="1"/>
  <c r="S20" i="1"/>
  <c r="S257" i="1"/>
  <c r="BX305" i="2"/>
  <c r="BX301" i="2"/>
  <c r="BX290" i="2"/>
  <c r="BX283" i="2"/>
  <c r="BX282" i="2"/>
  <c r="BX278" i="2"/>
  <c r="BX277" i="2"/>
  <c r="BX276" i="2"/>
  <c r="BX269" i="2"/>
  <c r="BX268" i="2"/>
  <c r="BX261" i="2"/>
  <c r="BX260" i="2"/>
  <c r="BX258" i="2"/>
  <c r="BX252" i="2"/>
  <c r="BX250" i="2"/>
  <c r="BX244" i="2"/>
  <c r="BX242" i="2"/>
  <c r="BX233" i="2"/>
  <c r="BX238" i="2"/>
  <c r="BX228" i="2"/>
  <c r="BX219" i="2"/>
  <c r="BX214" i="2"/>
  <c r="BX211" i="2"/>
  <c r="BX201" i="2"/>
  <c r="BX199" i="2"/>
  <c r="BX193" i="2"/>
  <c r="BX191" i="2"/>
  <c r="BX182" i="2"/>
  <c r="BX187" i="2"/>
  <c r="BX177" i="2"/>
  <c r="BX168" i="2"/>
  <c r="BX163" i="2"/>
  <c r="BX160" i="2"/>
  <c r="BX150" i="2"/>
  <c r="BX148" i="2"/>
  <c r="BX142" i="2"/>
  <c r="BX140" i="2"/>
  <c r="BX131" i="2"/>
  <c r="BX136" i="2"/>
  <c r="BX126" i="2"/>
  <c r="BX117" i="2"/>
  <c r="BX112" i="2"/>
  <c r="BX111" i="2"/>
  <c r="BX109" i="2"/>
  <c r="BX257" i="2"/>
  <c r="BX99" i="2"/>
  <c r="BX97" i="2"/>
  <c r="BX91" i="2"/>
  <c r="BX89" i="2"/>
  <c r="BX80" i="2"/>
  <c r="BX85" i="2"/>
  <c r="BX75" i="2"/>
  <c r="BX66" i="2"/>
  <c r="BX61" i="2"/>
  <c r="BX60" i="2"/>
  <c r="BX58" i="2"/>
  <c r="BX49" i="2"/>
  <c r="BX47" i="2"/>
  <c r="BX41" i="2"/>
  <c r="BX39" i="2"/>
  <c r="BX30" i="2"/>
  <c r="BX35" i="2"/>
  <c r="BX25" i="2"/>
  <c r="BX16" i="2"/>
  <c r="BX8" i="2"/>
  <c r="BX300" i="2"/>
  <c r="O67" i="3"/>
  <c r="O70" i="3"/>
  <c r="O69" i="3"/>
  <c r="BX164" i="2"/>
  <c r="BX215" i="2"/>
  <c r="O31" i="3"/>
  <c r="O36" i="3"/>
  <c r="S279" i="1"/>
  <c r="S284" i="1"/>
  <c r="BX292" i="2"/>
  <c r="BX298" i="2"/>
  <c r="BX284" i="2"/>
  <c r="S269" i="1"/>
  <c r="S261" i="1"/>
  <c r="S364" i="1"/>
  <c r="S367" i="1"/>
  <c r="S376" i="1"/>
  <c r="S314" i="1"/>
  <c r="S317" i="1"/>
  <c r="BX113" i="2"/>
  <c r="BX279" i="2"/>
  <c r="BX286" i="2"/>
  <c r="BX270" i="2"/>
  <c r="BX266" i="2"/>
  <c r="BX12" i="2"/>
  <c r="BX264" i="2"/>
  <c r="BX265" i="2"/>
  <c r="BX262" i="2"/>
  <c r="BX62" i="2"/>
  <c r="O73" i="3"/>
  <c r="M22" i="3"/>
  <c r="R355" i="1"/>
  <c r="R356" i="1"/>
  <c r="R353" i="1"/>
  <c r="R350" i="1"/>
  <c r="R352" i="1"/>
  <c r="R351" i="1"/>
  <c r="R311" i="1"/>
  <c r="R310" i="1"/>
  <c r="R206" i="1"/>
  <c r="R155" i="1"/>
  <c r="R4" i="1"/>
  <c r="BW104" i="2"/>
  <c r="BW53" i="2"/>
  <c r="BW3" i="2"/>
  <c r="N46" i="3"/>
  <c r="N64" i="3"/>
  <c r="N67" i="3"/>
  <c r="N54" i="3"/>
  <c r="N52" i="3"/>
  <c r="N48" i="3"/>
  <c r="N42" i="3"/>
  <c r="R42" i="1"/>
  <c r="Q42" i="1"/>
  <c r="R12" i="1"/>
  <c r="R366" i="1"/>
  <c r="R365" i="1"/>
  <c r="R363" i="1"/>
  <c r="R362" i="1"/>
  <c r="R354" i="1"/>
  <c r="R357" i="1"/>
  <c r="R344" i="1"/>
  <c r="R347" i="1"/>
  <c r="R334" i="1"/>
  <c r="R337" i="1"/>
  <c r="R324" i="1"/>
  <c r="R327" i="1"/>
  <c r="R361" i="1"/>
  <c r="R360" i="1"/>
  <c r="R303" i="1"/>
  <c r="R301" i="1"/>
  <c r="R297" i="1"/>
  <c r="R295" i="1"/>
  <c r="R290" i="1"/>
  <c r="R268" i="1"/>
  <c r="R267" i="1"/>
  <c r="R260" i="1"/>
  <c r="R259" i="1"/>
  <c r="R252" i="1"/>
  <c r="R250" i="1"/>
  <c r="R246" i="1"/>
  <c r="R244" i="1"/>
  <c r="R239" i="1"/>
  <c r="R228" i="1"/>
  <c r="R233" i="1"/>
  <c r="R218" i="1"/>
  <c r="R210" i="1"/>
  <c r="R201" i="1"/>
  <c r="R199" i="1"/>
  <c r="R195" i="1"/>
  <c r="R193" i="1"/>
  <c r="R188" i="1"/>
  <c r="R177" i="1"/>
  <c r="R182" i="1"/>
  <c r="R167" i="1"/>
  <c r="R159" i="1"/>
  <c r="R150" i="1"/>
  <c r="R148" i="1"/>
  <c r="R142" i="1"/>
  <c r="R137" i="1"/>
  <c r="R126" i="1"/>
  <c r="R131" i="1"/>
  <c r="R116" i="1"/>
  <c r="R112" i="1"/>
  <c r="R108" i="1"/>
  <c r="R120" i="1"/>
  <c r="R100" i="1"/>
  <c r="R98" i="1"/>
  <c r="R94" i="1"/>
  <c r="R92" i="1"/>
  <c r="R87" i="1"/>
  <c r="R76" i="1"/>
  <c r="R81" i="1"/>
  <c r="R66" i="1"/>
  <c r="R62" i="1"/>
  <c r="R58" i="1"/>
  <c r="R70" i="1"/>
  <c r="R50" i="1"/>
  <c r="R48" i="1"/>
  <c r="R44" i="1"/>
  <c r="R37" i="1"/>
  <c r="R26" i="1"/>
  <c r="R31" i="1"/>
  <c r="R16" i="1"/>
  <c r="R8" i="1"/>
  <c r="R20" i="1"/>
  <c r="R257" i="1"/>
  <c r="BW41" i="2"/>
  <c r="BW305" i="2"/>
  <c r="BW301" i="2"/>
  <c r="BW300" i="2"/>
  <c r="BW283" i="2"/>
  <c r="BW282" i="2"/>
  <c r="BW278" i="2"/>
  <c r="BW277" i="2"/>
  <c r="BW276" i="2"/>
  <c r="BW269" i="2"/>
  <c r="BW268" i="2"/>
  <c r="BW261" i="2"/>
  <c r="BW260" i="2"/>
  <c r="BW258" i="2"/>
  <c r="BW252" i="2"/>
  <c r="BW250" i="2"/>
  <c r="BW244" i="2"/>
  <c r="BW242" i="2"/>
  <c r="BW233" i="2"/>
  <c r="BW228" i="2"/>
  <c r="BW219" i="2"/>
  <c r="BW214" i="2"/>
  <c r="BW211" i="2"/>
  <c r="BW201" i="2"/>
  <c r="BW199" i="2"/>
  <c r="BW193" i="2"/>
  <c r="BW191" i="2"/>
  <c r="BW182" i="2"/>
  <c r="BW177" i="2"/>
  <c r="BW168" i="2"/>
  <c r="BW163" i="2"/>
  <c r="BW160" i="2"/>
  <c r="BW150" i="2"/>
  <c r="BW148" i="2"/>
  <c r="BW142" i="2"/>
  <c r="BW140" i="2"/>
  <c r="BW131" i="2"/>
  <c r="BW136" i="2"/>
  <c r="BW126" i="2"/>
  <c r="BW117" i="2"/>
  <c r="BW112" i="2"/>
  <c r="BW111" i="2"/>
  <c r="BW109" i="2"/>
  <c r="BW257" i="2"/>
  <c r="BW99" i="2"/>
  <c r="BW97" i="2"/>
  <c r="BW91" i="2"/>
  <c r="BW89" i="2"/>
  <c r="BW80" i="2"/>
  <c r="BW75" i="2"/>
  <c r="BW66" i="2"/>
  <c r="BW61" i="2"/>
  <c r="BW60" i="2"/>
  <c r="BW58" i="2"/>
  <c r="BW49" i="2"/>
  <c r="BW47" i="2"/>
  <c r="BW39" i="2"/>
  <c r="BW30" i="2"/>
  <c r="BW25" i="2"/>
  <c r="BW16" i="2"/>
  <c r="BW8" i="2"/>
  <c r="N69" i="3"/>
  <c r="N70" i="3"/>
  <c r="BW215" i="2"/>
  <c r="BW12" i="2"/>
  <c r="N31" i="3"/>
  <c r="N36" i="3"/>
  <c r="R144" i="1"/>
  <c r="R269" i="1"/>
  <c r="R284" i="1"/>
  <c r="R261" i="1"/>
  <c r="R364" i="1"/>
  <c r="R367" i="1"/>
  <c r="R314" i="1"/>
  <c r="R317" i="1"/>
  <c r="BW238" i="2"/>
  <c r="BW187" i="2"/>
  <c r="BW164" i="2"/>
  <c r="BW113" i="2"/>
  <c r="BW85" i="2"/>
  <c r="BW265" i="2"/>
  <c r="BW270" i="2"/>
  <c r="BW266" i="2"/>
  <c r="BW62" i="2"/>
  <c r="BW284" i="2"/>
  <c r="BW35" i="2"/>
  <c r="BW279" i="2"/>
  <c r="BW286" i="2"/>
  <c r="BW262" i="2"/>
  <c r="BW264" i="2"/>
  <c r="BW292" i="2"/>
  <c r="BW298" i="2"/>
  <c r="BW290" i="2"/>
  <c r="L22" i="3"/>
  <c r="K22" i="3"/>
  <c r="R375" i="1"/>
  <c r="R376" i="1"/>
  <c r="N73" i="3"/>
  <c r="Q362" i="1"/>
  <c r="Q282" i="1"/>
  <c r="O230" i="1"/>
  <c r="BU235" i="2"/>
  <c r="BV184" i="2"/>
  <c r="BU184" i="2"/>
  <c r="BV133" i="2"/>
  <c r="BU133" i="2"/>
  <c r="BV82" i="2"/>
  <c r="BU82" i="2"/>
  <c r="BV32" i="2"/>
  <c r="BU32" i="2"/>
  <c r="M33" i="3"/>
  <c r="L41" i="3"/>
  <c r="L33" i="3"/>
  <c r="Q369" i="1"/>
  <c r="Q311" i="1"/>
  <c r="Q361" i="1"/>
  <c r="Q310" i="1"/>
  <c r="Q360" i="1"/>
  <c r="Q301" i="1"/>
  <c r="Q288" i="1"/>
  <c r="Q267" i="1"/>
  <c r="Q268" i="1"/>
  <c r="P267" i="1"/>
  <c r="P268" i="1"/>
  <c r="P269" i="1"/>
  <c r="O260" i="1"/>
  <c r="Q259" i="1"/>
  <c r="Q260" i="1"/>
  <c r="Q237" i="1"/>
  <c r="Q230" i="1"/>
  <c r="Q231" i="1"/>
  <c r="P230" i="1"/>
  <c r="Q180" i="1"/>
  <c r="Q179" i="1"/>
  <c r="P179" i="1"/>
  <c r="Q128" i="1"/>
  <c r="P128" i="1"/>
  <c r="P78" i="1"/>
  <c r="Q29" i="1"/>
  <c r="Q28" i="1"/>
  <c r="P28" i="1"/>
  <c r="Q269" i="1"/>
  <c r="Q261" i="1"/>
  <c r="BV305" i="2"/>
  <c r="BV235" i="2"/>
  <c r="BV214" i="2"/>
  <c r="BV162" i="2"/>
  <c r="BV163" i="2"/>
  <c r="BV134" i="2"/>
  <c r="BV111" i="2"/>
  <c r="BV112" i="2"/>
  <c r="BV83" i="2"/>
  <c r="BV60" i="2"/>
  <c r="BV61" i="2"/>
  <c r="BV33" i="2"/>
  <c r="Q206" i="1"/>
  <c r="Q155" i="1"/>
  <c r="Q4" i="1"/>
  <c r="BV104" i="2"/>
  <c r="BV53" i="2"/>
  <c r="BV10" i="2"/>
  <c r="BV3" i="2"/>
  <c r="Q257" i="1"/>
  <c r="M64" i="3"/>
  <c r="M67" i="3"/>
  <c r="M73" i="3"/>
  <c r="Q344" i="1"/>
  <c r="Q324" i="1"/>
  <c r="Q327" i="1"/>
  <c r="Q366" i="1"/>
  <c r="Q363" i="1"/>
  <c r="Q334" i="1"/>
  <c r="Q337" i="1"/>
  <c r="Q354" i="1"/>
  <c r="Q357" i="1"/>
  <c r="Q365" i="1"/>
  <c r="Q347" i="1"/>
  <c r="Q314" i="1"/>
  <c r="Q364" i="1"/>
  <c r="Q372" i="1"/>
  <c r="Q277" i="1"/>
  <c r="Q278" i="1"/>
  <c r="BV228" i="2"/>
  <c r="Q373" i="1"/>
  <c r="Q375" i="1"/>
  <c r="Q374" i="1"/>
  <c r="Q367" i="1"/>
  <c r="BU41" i="2"/>
  <c r="BU163" i="2"/>
  <c r="BU104" i="2"/>
  <c r="BU53" i="2"/>
  <c r="BU305" i="2"/>
  <c r="BU3" i="2"/>
  <c r="P326" i="1"/>
  <c r="P325" i="1"/>
  <c r="P323" i="1"/>
  <c r="P322" i="1"/>
  <c r="P321" i="1"/>
  <c r="P320" i="1"/>
  <c r="P316" i="1"/>
  <c r="P315" i="1"/>
  <c r="P313" i="1"/>
  <c r="P312" i="1"/>
  <c r="P311" i="1"/>
  <c r="P310" i="1"/>
  <c r="P369" i="1"/>
  <c r="O369" i="1"/>
  <c r="P354" i="1"/>
  <c r="P357" i="1"/>
  <c r="P344" i="1"/>
  <c r="P347" i="1"/>
  <c r="P334" i="1"/>
  <c r="P337" i="1"/>
  <c r="P301" i="1"/>
  <c r="P287" i="1"/>
  <c r="P288" i="1"/>
  <c r="P289" i="1"/>
  <c r="P277" i="1"/>
  <c r="P278" i="1"/>
  <c r="P260" i="1"/>
  <c r="P259" i="1"/>
  <c r="P206" i="1"/>
  <c r="P199" i="1"/>
  <c r="P155" i="1"/>
  <c r="P42" i="1"/>
  <c r="P4" i="1"/>
  <c r="L64" i="3"/>
  <c r="L70" i="3"/>
  <c r="BT163" i="2"/>
  <c r="M100" i="1"/>
  <c r="M98" i="1"/>
  <c r="L99" i="1"/>
  <c r="L100" i="1"/>
  <c r="L98" i="1"/>
  <c r="K99" i="1"/>
  <c r="K100" i="1"/>
  <c r="K98" i="1"/>
  <c r="N295" i="1"/>
  <c r="O136" i="1"/>
  <c r="O289" i="1"/>
  <c r="O135" i="1"/>
  <c r="O288" i="1"/>
  <c r="O283" i="1"/>
  <c r="O282" i="1"/>
  <c r="O181" i="1"/>
  <c r="O179" i="1"/>
  <c r="O124" i="1"/>
  <c r="O77" i="1"/>
  <c r="O78" i="1"/>
  <c r="O74" i="1"/>
  <c r="O76" i="1"/>
  <c r="BT73" i="2"/>
  <c r="BT277" i="2"/>
  <c r="BT279" i="2"/>
  <c r="O30" i="1"/>
  <c r="O28" i="1"/>
  <c r="O27" i="1"/>
  <c r="O24" i="1"/>
  <c r="O26" i="1"/>
  <c r="BT237" i="2"/>
  <c r="BT235" i="2"/>
  <c r="BT231" i="2"/>
  <c r="BT185" i="2"/>
  <c r="BT184" i="2"/>
  <c r="BT180" i="2"/>
  <c r="BT182" i="2"/>
  <c r="BT132" i="2"/>
  <c r="BT82" i="2"/>
  <c r="BT79" i="2"/>
  <c r="BT32" i="2"/>
  <c r="N179" i="1"/>
  <c r="O128" i="1"/>
  <c r="N128" i="1"/>
  <c r="N78" i="1"/>
  <c r="N28" i="1"/>
  <c r="BT305" i="2"/>
  <c r="BT104" i="2"/>
  <c r="BT53" i="2"/>
  <c r="K64" i="3"/>
  <c r="K69" i="3"/>
  <c r="O326" i="1"/>
  <c r="O325" i="1"/>
  <c r="O323" i="1"/>
  <c r="O322" i="1"/>
  <c r="O321" i="1"/>
  <c r="O320" i="1"/>
  <c r="O316" i="1"/>
  <c r="O315" i="1"/>
  <c r="O313" i="1"/>
  <c r="O363" i="1"/>
  <c r="O312" i="1"/>
  <c r="O311" i="1"/>
  <c r="O310" i="1"/>
  <c r="O42" i="1"/>
  <c r="O56" i="1"/>
  <c r="O259" i="1"/>
  <c r="O261" i="1"/>
  <c r="O206" i="1"/>
  <c r="O155" i="1"/>
  <c r="O4" i="1"/>
  <c r="J26" i="3"/>
  <c r="J25" i="3"/>
  <c r="BT3" i="2"/>
  <c r="BS235" i="2"/>
  <c r="BS184" i="2"/>
  <c r="BS133" i="2"/>
  <c r="BS82" i="2"/>
  <c r="BS80" i="2"/>
  <c r="BS85" i="2"/>
  <c r="BS32" i="2"/>
  <c r="BS30" i="2"/>
  <c r="O287" i="1"/>
  <c r="O278" i="1"/>
  <c r="O268" i="1"/>
  <c r="O267" i="1"/>
  <c r="O354" i="1"/>
  <c r="O357" i="1"/>
  <c r="N354" i="1"/>
  <c r="N357" i="1"/>
  <c r="M354" i="1"/>
  <c r="M357" i="1"/>
  <c r="L354" i="1"/>
  <c r="L357" i="1"/>
  <c r="K354" i="1"/>
  <c r="K357" i="1"/>
  <c r="J354" i="1"/>
  <c r="J357" i="1"/>
  <c r="I354" i="1"/>
  <c r="I357" i="1"/>
  <c r="H354" i="1"/>
  <c r="H357" i="1"/>
  <c r="G354" i="1"/>
  <c r="G357" i="1"/>
  <c r="F354" i="1"/>
  <c r="F357" i="1"/>
  <c r="C228" i="1"/>
  <c r="C233" i="1"/>
  <c r="D228" i="1"/>
  <c r="D233" i="1"/>
  <c r="C252" i="1"/>
  <c r="D252" i="1"/>
  <c r="E252" i="1"/>
  <c r="C250" i="1"/>
  <c r="D250" i="1"/>
  <c r="E250" i="1"/>
  <c r="C246" i="1"/>
  <c r="D246" i="1"/>
  <c r="E246" i="1"/>
  <c r="C244" i="1"/>
  <c r="D244" i="1"/>
  <c r="E244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E228" i="1"/>
  <c r="E233" i="1"/>
  <c r="F228" i="1"/>
  <c r="F233" i="1"/>
  <c r="G228" i="1"/>
  <c r="G233" i="1"/>
  <c r="H228" i="1"/>
  <c r="H233" i="1"/>
  <c r="I228" i="1"/>
  <c r="I233" i="1"/>
  <c r="J228" i="1"/>
  <c r="J233" i="1"/>
  <c r="K228" i="1"/>
  <c r="K233" i="1"/>
  <c r="L228" i="1"/>
  <c r="L233" i="1"/>
  <c r="M228" i="1"/>
  <c r="M233" i="1"/>
  <c r="N228" i="1"/>
  <c r="N233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Q252" i="1"/>
  <c r="P252" i="1"/>
  <c r="O252" i="1"/>
  <c r="Q250" i="1"/>
  <c r="P250" i="1"/>
  <c r="O250" i="1"/>
  <c r="Q246" i="1"/>
  <c r="P246" i="1"/>
  <c r="O246" i="1"/>
  <c r="Q244" i="1"/>
  <c r="P244" i="1"/>
  <c r="O244" i="1"/>
  <c r="Q239" i="1"/>
  <c r="P239" i="1"/>
  <c r="O239" i="1"/>
  <c r="Q228" i="1"/>
  <c r="Q233" i="1"/>
  <c r="P228" i="1"/>
  <c r="P233" i="1"/>
  <c r="O228" i="1"/>
  <c r="O233" i="1"/>
  <c r="Q218" i="1"/>
  <c r="P218" i="1"/>
  <c r="O218" i="1"/>
  <c r="Q210" i="1"/>
  <c r="P210" i="1"/>
  <c r="O210" i="1"/>
  <c r="N326" i="1"/>
  <c r="N325" i="1"/>
  <c r="N323" i="1"/>
  <c r="N322" i="1"/>
  <c r="N321" i="1"/>
  <c r="N320" i="1"/>
  <c r="N316" i="1"/>
  <c r="N315" i="1"/>
  <c r="N313" i="1"/>
  <c r="N312" i="1"/>
  <c r="N311" i="1"/>
  <c r="N310" i="1"/>
  <c r="K313" i="1"/>
  <c r="K312" i="1"/>
  <c r="K311" i="1"/>
  <c r="K310" i="1"/>
  <c r="M326" i="1"/>
  <c r="M325" i="1"/>
  <c r="M323" i="1"/>
  <c r="M322" i="1"/>
  <c r="M321" i="1"/>
  <c r="M320" i="1"/>
  <c r="M316" i="1"/>
  <c r="M315" i="1"/>
  <c r="M313" i="1"/>
  <c r="M312" i="1"/>
  <c r="M311" i="1"/>
  <c r="M310" i="1"/>
  <c r="L326" i="1"/>
  <c r="L325" i="1"/>
  <c r="L323" i="1"/>
  <c r="L322" i="1"/>
  <c r="L321" i="1"/>
  <c r="L320" i="1"/>
  <c r="L316" i="1"/>
  <c r="L315" i="1"/>
  <c r="L313" i="1"/>
  <c r="L312" i="1"/>
  <c r="L311" i="1"/>
  <c r="L310" i="1"/>
  <c r="K326" i="1"/>
  <c r="K325" i="1"/>
  <c r="K323" i="1"/>
  <c r="K322" i="1"/>
  <c r="K321" i="1"/>
  <c r="K320" i="1"/>
  <c r="K316" i="1"/>
  <c r="K315" i="1"/>
  <c r="J326" i="1"/>
  <c r="J325" i="1"/>
  <c r="J323" i="1"/>
  <c r="J322" i="1"/>
  <c r="J321" i="1"/>
  <c r="J320" i="1"/>
  <c r="J316" i="1"/>
  <c r="J315" i="1"/>
  <c r="J313" i="1"/>
  <c r="J312" i="1"/>
  <c r="J311" i="1"/>
  <c r="J310" i="1"/>
  <c r="I326" i="1"/>
  <c r="I325" i="1"/>
  <c r="I323" i="1"/>
  <c r="I322" i="1"/>
  <c r="I321" i="1"/>
  <c r="I320" i="1"/>
  <c r="I316" i="1"/>
  <c r="I315" i="1"/>
  <c r="I313" i="1"/>
  <c r="I312" i="1"/>
  <c r="I311" i="1"/>
  <c r="I310" i="1"/>
  <c r="H326" i="1"/>
  <c r="H325" i="1"/>
  <c r="H323" i="1"/>
  <c r="H322" i="1"/>
  <c r="H321" i="1"/>
  <c r="H320" i="1"/>
  <c r="H316" i="1"/>
  <c r="H315" i="1"/>
  <c r="H313" i="1"/>
  <c r="H312" i="1"/>
  <c r="H311" i="1"/>
  <c r="H310" i="1"/>
  <c r="G326" i="1"/>
  <c r="G325" i="1"/>
  <c r="G323" i="1"/>
  <c r="G322" i="1"/>
  <c r="G321" i="1"/>
  <c r="G361" i="1"/>
  <c r="G320" i="1"/>
  <c r="G316" i="1"/>
  <c r="G315" i="1"/>
  <c r="G313" i="1"/>
  <c r="G312" i="1"/>
  <c r="G311" i="1"/>
  <c r="G310" i="1"/>
  <c r="F64" i="3"/>
  <c r="F70" i="3"/>
  <c r="C64" i="3"/>
  <c r="C67" i="3"/>
  <c r="G64" i="3"/>
  <c r="G70" i="3"/>
  <c r="J64" i="3"/>
  <c r="J67" i="3"/>
  <c r="J75" i="3"/>
  <c r="D64" i="3"/>
  <c r="D69" i="3"/>
  <c r="H64" i="3"/>
  <c r="H67" i="3"/>
  <c r="H75" i="3"/>
  <c r="I64" i="3"/>
  <c r="I69" i="3"/>
  <c r="E64" i="3"/>
  <c r="E70" i="3"/>
  <c r="C75" i="3"/>
  <c r="O344" i="1"/>
  <c r="O347" i="1"/>
  <c r="N344" i="1"/>
  <c r="N347" i="1"/>
  <c r="M344" i="1"/>
  <c r="M347" i="1"/>
  <c r="L344" i="1"/>
  <c r="L347" i="1"/>
  <c r="K344" i="1"/>
  <c r="K347" i="1"/>
  <c r="J344" i="1"/>
  <c r="J347" i="1"/>
  <c r="I344" i="1"/>
  <c r="I347" i="1"/>
  <c r="H344" i="1"/>
  <c r="H347" i="1"/>
  <c r="G344" i="1"/>
  <c r="G347" i="1"/>
  <c r="F344" i="1"/>
  <c r="F347" i="1"/>
  <c r="O334" i="1"/>
  <c r="O337" i="1"/>
  <c r="N334" i="1"/>
  <c r="N337" i="1"/>
  <c r="M334" i="1"/>
  <c r="M337" i="1"/>
  <c r="L334" i="1"/>
  <c r="L337" i="1"/>
  <c r="K334" i="1"/>
  <c r="K337" i="1"/>
  <c r="J334" i="1"/>
  <c r="J337" i="1"/>
  <c r="I334" i="1"/>
  <c r="I337" i="1"/>
  <c r="H334" i="1"/>
  <c r="H337" i="1"/>
  <c r="G334" i="1"/>
  <c r="G337" i="1"/>
  <c r="F334" i="1"/>
  <c r="F337" i="1"/>
  <c r="F326" i="1"/>
  <c r="F325" i="1"/>
  <c r="F323" i="1"/>
  <c r="F322" i="1"/>
  <c r="F321" i="1"/>
  <c r="F320" i="1"/>
  <c r="F316" i="1"/>
  <c r="F315" i="1"/>
  <c r="F313" i="1"/>
  <c r="F312" i="1"/>
  <c r="F311" i="1"/>
  <c r="F310" i="1"/>
  <c r="Q317" i="1"/>
  <c r="BS131" i="2"/>
  <c r="Q303" i="1"/>
  <c r="P303" i="1"/>
  <c r="O303" i="1"/>
  <c r="Q148" i="1"/>
  <c r="P148" i="1"/>
  <c r="O148" i="1"/>
  <c r="Q100" i="1"/>
  <c r="P100" i="1"/>
  <c r="O100" i="1"/>
  <c r="Q98" i="1"/>
  <c r="P98" i="1"/>
  <c r="O98" i="1"/>
  <c r="Q44" i="1"/>
  <c r="P44" i="1"/>
  <c r="O44" i="1"/>
  <c r="BV252" i="2"/>
  <c r="BU252" i="2"/>
  <c r="BT252" i="2"/>
  <c r="BV250" i="2"/>
  <c r="BU250" i="2"/>
  <c r="BT250" i="2"/>
  <c r="BV191" i="2"/>
  <c r="BU191" i="2"/>
  <c r="BT191" i="2"/>
  <c r="BV148" i="2"/>
  <c r="BU148" i="2"/>
  <c r="BT148" i="2"/>
  <c r="BV99" i="2"/>
  <c r="BU99" i="2"/>
  <c r="BT99" i="2"/>
  <c r="BS278" i="2"/>
  <c r="J54" i="3"/>
  <c r="BS277" i="2"/>
  <c r="BS10" i="2"/>
  <c r="BS269" i="2"/>
  <c r="BS268" i="2"/>
  <c r="N155" i="1"/>
  <c r="N303" i="1"/>
  <c r="N148" i="1"/>
  <c r="N100" i="1"/>
  <c r="N98" i="1"/>
  <c r="N42" i="1"/>
  <c r="N44" i="1"/>
  <c r="BS163" i="2"/>
  <c r="BS11" i="2"/>
  <c r="N4" i="1"/>
  <c r="BS252" i="2"/>
  <c r="BS250" i="2"/>
  <c r="BS148" i="2"/>
  <c r="BS104" i="2"/>
  <c r="BS99" i="2"/>
  <c r="BS53" i="2"/>
  <c r="BS3" i="2"/>
  <c r="M54" i="3"/>
  <c r="M52" i="3"/>
  <c r="M48" i="3"/>
  <c r="M46" i="3"/>
  <c r="M42" i="3"/>
  <c r="M28" i="3"/>
  <c r="M25" i="3"/>
  <c r="L54" i="3"/>
  <c r="L52" i="3"/>
  <c r="L48" i="3"/>
  <c r="L46" i="3"/>
  <c r="L42" i="3"/>
  <c r="L28" i="3"/>
  <c r="L25" i="3"/>
  <c r="K54" i="3"/>
  <c r="K52" i="3"/>
  <c r="K48" i="3"/>
  <c r="K46" i="3"/>
  <c r="K42" i="3"/>
  <c r="K25" i="3"/>
  <c r="K31" i="3"/>
  <c r="K36" i="3"/>
  <c r="J52" i="3"/>
  <c r="J48" i="3"/>
  <c r="J46" i="3"/>
  <c r="J42" i="3"/>
  <c r="J28" i="3"/>
  <c r="O301" i="1"/>
  <c r="N301" i="1"/>
  <c r="Q297" i="1"/>
  <c r="P297" i="1"/>
  <c r="O297" i="1"/>
  <c r="N297" i="1"/>
  <c r="Q295" i="1"/>
  <c r="P295" i="1"/>
  <c r="O295" i="1"/>
  <c r="N289" i="1"/>
  <c r="N288" i="1"/>
  <c r="N287" i="1"/>
  <c r="N278" i="1"/>
  <c r="N277" i="1"/>
  <c r="N268" i="1"/>
  <c r="N267" i="1"/>
  <c r="N260" i="1"/>
  <c r="N259" i="1"/>
  <c r="Q201" i="1"/>
  <c r="P201" i="1"/>
  <c r="O201" i="1"/>
  <c r="N201" i="1"/>
  <c r="Q199" i="1"/>
  <c r="O199" i="1"/>
  <c r="N199" i="1"/>
  <c r="Q195" i="1"/>
  <c r="P195" i="1"/>
  <c r="O195" i="1"/>
  <c r="Q193" i="1"/>
  <c r="P193" i="1"/>
  <c r="O193" i="1"/>
  <c r="N193" i="1"/>
  <c r="Q188" i="1"/>
  <c r="P188" i="1"/>
  <c r="O188" i="1"/>
  <c r="N188" i="1"/>
  <c r="Q177" i="1"/>
  <c r="Q182" i="1"/>
  <c r="P177" i="1"/>
  <c r="P182" i="1"/>
  <c r="O177" i="1"/>
  <c r="N177" i="1"/>
  <c r="Q167" i="1"/>
  <c r="P167" i="1"/>
  <c r="O167" i="1"/>
  <c r="N167" i="1"/>
  <c r="Q159" i="1"/>
  <c r="P159" i="1"/>
  <c r="O159" i="1"/>
  <c r="N159" i="1"/>
  <c r="Q150" i="1"/>
  <c r="P150" i="1"/>
  <c r="O150" i="1"/>
  <c r="N150" i="1"/>
  <c r="Q142" i="1"/>
  <c r="P142" i="1"/>
  <c r="O142" i="1"/>
  <c r="N142" i="1"/>
  <c r="Q137" i="1"/>
  <c r="P137" i="1"/>
  <c r="N137" i="1"/>
  <c r="Q126" i="1"/>
  <c r="Q131" i="1"/>
  <c r="P126" i="1"/>
  <c r="P131" i="1"/>
  <c r="O126" i="1"/>
  <c r="N126" i="1"/>
  <c r="Q116" i="1"/>
  <c r="Q143" i="1"/>
  <c r="Q144" i="1"/>
  <c r="P116" i="1"/>
  <c r="P143" i="1"/>
  <c r="P144" i="1"/>
  <c r="O116" i="1"/>
  <c r="O143" i="1"/>
  <c r="O144" i="1"/>
  <c r="N116" i="1"/>
  <c r="N144" i="1"/>
  <c r="Q112" i="1"/>
  <c r="P112" i="1"/>
  <c r="O112" i="1"/>
  <c r="N112" i="1"/>
  <c r="Q108" i="1"/>
  <c r="Q120" i="1"/>
  <c r="P108" i="1"/>
  <c r="P120" i="1"/>
  <c r="O108" i="1"/>
  <c r="O120" i="1"/>
  <c r="N108" i="1"/>
  <c r="N120" i="1"/>
  <c r="Q92" i="1"/>
  <c r="P92" i="1"/>
  <c r="O92" i="1"/>
  <c r="N92" i="1"/>
  <c r="Q87" i="1"/>
  <c r="P87" i="1"/>
  <c r="O87" i="1"/>
  <c r="N87" i="1"/>
  <c r="Q76" i="1"/>
  <c r="Q81" i="1"/>
  <c r="P76" i="1"/>
  <c r="P81" i="1"/>
  <c r="N76" i="1"/>
  <c r="Q66" i="1"/>
  <c r="Q94" i="1"/>
  <c r="P66" i="1"/>
  <c r="P94" i="1"/>
  <c r="O66" i="1"/>
  <c r="O93" i="1"/>
  <c r="O94" i="1"/>
  <c r="N66" i="1"/>
  <c r="N94" i="1"/>
  <c r="Q62" i="1"/>
  <c r="P62" i="1"/>
  <c r="O62" i="1"/>
  <c r="N62" i="1"/>
  <c r="Q58" i="1"/>
  <c r="Q70" i="1"/>
  <c r="P58" i="1"/>
  <c r="P70" i="1"/>
  <c r="N58" i="1"/>
  <c r="N70" i="1"/>
  <c r="Q50" i="1"/>
  <c r="P50" i="1"/>
  <c r="O50" i="1"/>
  <c r="N50" i="1"/>
  <c r="Q48" i="1"/>
  <c r="P48" i="1"/>
  <c r="O48" i="1"/>
  <c r="N48" i="1"/>
  <c r="Q37" i="1"/>
  <c r="P37" i="1"/>
  <c r="O37" i="1"/>
  <c r="N37" i="1"/>
  <c r="Q26" i="1"/>
  <c r="Q31" i="1"/>
  <c r="P26" i="1"/>
  <c r="P31" i="1"/>
  <c r="N26" i="1"/>
  <c r="N31" i="1"/>
  <c r="Q16" i="1"/>
  <c r="P16" i="1"/>
  <c r="O16" i="1"/>
  <c r="N16" i="1"/>
  <c r="Q12" i="1"/>
  <c r="P12" i="1"/>
  <c r="O12" i="1"/>
  <c r="N12" i="1"/>
  <c r="Q8" i="1"/>
  <c r="Q20" i="1"/>
  <c r="P8" i="1"/>
  <c r="P20" i="1"/>
  <c r="O8" i="1"/>
  <c r="O20" i="1"/>
  <c r="N8" i="1"/>
  <c r="N20" i="1"/>
  <c r="BV301" i="2"/>
  <c r="BV283" i="2"/>
  <c r="BV282" i="2"/>
  <c r="BV278" i="2"/>
  <c r="BV277" i="2"/>
  <c r="BV276" i="2"/>
  <c r="BV269" i="2"/>
  <c r="BV268" i="2"/>
  <c r="BV261" i="2"/>
  <c r="BV273" i="2"/>
  <c r="BV260" i="2"/>
  <c r="BV272" i="2"/>
  <c r="BV258" i="2"/>
  <c r="BV242" i="2"/>
  <c r="BV233" i="2"/>
  <c r="BV238" i="2"/>
  <c r="BV219" i="2"/>
  <c r="BV211" i="2"/>
  <c r="BV201" i="2"/>
  <c r="BV199" i="2"/>
  <c r="BV182" i="2"/>
  <c r="BV187" i="2"/>
  <c r="BV177" i="2"/>
  <c r="BV168" i="2"/>
  <c r="BV160" i="2"/>
  <c r="BV150" i="2"/>
  <c r="BV131" i="2"/>
  <c r="BV136" i="2"/>
  <c r="BV126" i="2"/>
  <c r="BV117" i="2"/>
  <c r="BV109" i="2"/>
  <c r="BV97" i="2"/>
  <c r="BV80" i="2"/>
  <c r="BV75" i="2"/>
  <c r="BV66" i="2"/>
  <c r="BV58" i="2"/>
  <c r="BV49" i="2"/>
  <c r="BV47" i="2"/>
  <c r="BV30" i="2"/>
  <c r="BV35" i="2"/>
  <c r="BV25" i="2"/>
  <c r="BV16" i="2"/>
  <c r="BV39" i="2"/>
  <c r="BV8" i="2"/>
  <c r="BU301" i="2"/>
  <c r="BU300" i="2"/>
  <c r="BU283" i="2"/>
  <c r="BU282" i="2"/>
  <c r="BU278" i="2"/>
  <c r="BU277" i="2"/>
  <c r="BU276" i="2"/>
  <c r="BU269" i="2"/>
  <c r="BU268" i="2"/>
  <c r="BU261" i="2"/>
  <c r="BU273" i="2"/>
  <c r="BU260" i="2"/>
  <c r="BU272" i="2"/>
  <c r="BU258" i="2"/>
  <c r="BU242" i="2"/>
  <c r="BU233" i="2"/>
  <c r="BU238" i="2"/>
  <c r="BU228" i="2"/>
  <c r="BU219" i="2"/>
  <c r="BU244" i="2"/>
  <c r="BU214" i="2"/>
  <c r="BU211" i="2"/>
  <c r="BU201" i="2"/>
  <c r="BU199" i="2"/>
  <c r="BU182" i="2"/>
  <c r="BU187" i="2"/>
  <c r="BU177" i="2"/>
  <c r="BU168" i="2"/>
  <c r="BU193" i="2"/>
  <c r="BU162" i="2"/>
  <c r="BU160" i="2"/>
  <c r="BU150" i="2"/>
  <c r="BU131" i="2"/>
  <c r="BU136" i="2"/>
  <c r="BU126" i="2"/>
  <c r="BU117" i="2"/>
  <c r="BU142" i="2"/>
  <c r="BU112" i="2"/>
  <c r="BU111" i="2"/>
  <c r="BU109" i="2"/>
  <c r="BU97" i="2"/>
  <c r="BU80" i="2"/>
  <c r="BU75" i="2"/>
  <c r="BU66" i="2"/>
  <c r="BU89" i="2"/>
  <c r="BU61" i="2"/>
  <c r="BU60" i="2"/>
  <c r="BU58" i="2"/>
  <c r="BU49" i="2"/>
  <c r="BU47" i="2"/>
  <c r="BU30" i="2"/>
  <c r="BU35" i="2"/>
  <c r="BU25" i="2"/>
  <c r="BU16" i="2"/>
  <c r="BU270" i="2"/>
  <c r="BU39" i="2"/>
  <c r="BU10" i="2"/>
  <c r="BU8" i="2"/>
  <c r="BT301" i="2"/>
  <c r="BT300" i="2"/>
  <c r="BT283" i="2"/>
  <c r="BT278" i="2"/>
  <c r="BT276" i="2"/>
  <c r="BT269" i="2"/>
  <c r="BT268" i="2"/>
  <c r="BT261" i="2"/>
  <c r="BT273" i="2"/>
  <c r="BT260" i="2"/>
  <c r="BT272" i="2"/>
  <c r="BT258" i="2"/>
  <c r="BT242" i="2"/>
  <c r="BT228" i="2"/>
  <c r="BT219" i="2"/>
  <c r="BT243" i="2"/>
  <c r="BT244" i="2"/>
  <c r="BT214" i="2"/>
  <c r="BT211" i="2"/>
  <c r="BT201" i="2"/>
  <c r="BT199" i="2"/>
  <c r="BT177" i="2"/>
  <c r="BT168" i="2"/>
  <c r="BT192" i="2"/>
  <c r="BT193" i="2"/>
  <c r="BT162" i="2"/>
  <c r="BT160" i="2"/>
  <c r="BT150" i="2"/>
  <c r="BT131" i="2"/>
  <c r="BT126" i="2"/>
  <c r="BT117" i="2"/>
  <c r="BT141" i="2"/>
  <c r="BT142" i="2"/>
  <c r="BT112" i="2"/>
  <c r="BT111" i="2"/>
  <c r="BT109" i="2"/>
  <c r="BT97" i="2"/>
  <c r="BT80" i="2"/>
  <c r="BT66" i="2"/>
  <c r="BT61" i="2"/>
  <c r="BT60" i="2"/>
  <c r="BT58" i="2"/>
  <c r="BT49" i="2"/>
  <c r="BT47" i="2"/>
  <c r="BT30" i="2"/>
  <c r="BT35" i="2"/>
  <c r="BT25" i="2"/>
  <c r="BT16" i="2"/>
  <c r="BT40" i="2"/>
  <c r="BT41" i="2"/>
  <c r="BT10" i="2"/>
  <c r="BT8" i="2"/>
  <c r="BS301" i="2"/>
  <c r="BS300" i="2"/>
  <c r="BS283" i="2"/>
  <c r="BS282" i="2"/>
  <c r="BS276" i="2"/>
  <c r="BS261" i="2"/>
  <c r="BS273" i="2"/>
  <c r="BS260" i="2"/>
  <c r="BS258" i="2"/>
  <c r="BS242" i="2"/>
  <c r="BS233" i="2"/>
  <c r="BS238" i="2"/>
  <c r="BS228" i="2"/>
  <c r="BS219" i="2"/>
  <c r="BS214" i="2"/>
  <c r="BS211" i="2"/>
  <c r="BS201" i="2"/>
  <c r="BS199" i="2"/>
  <c r="BS182" i="2"/>
  <c r="BS187" i="2"/>
  <c r="BS177" i="2"/>
  <c r="BS168" i="2"/>
  <c r="BS162" i="2"/>
  <c r="BS160" i="2"/>
  <c r="BS150" i="2"/>
  <c r="BS126" i="2"/>
  <c r="BS117" i="2"/>
  <c r="BS141" i="2"/>
  <c r="BS142" i="2"/>
  <c r="BS112" i="2"/>
  <c r="BS111" i="2"/>
  <c r="BS109" i="2"/>
  <c r="BS97" i="2"/>
  <c r="BS75" i="2"/>
  <c r="BS66" i="2"/>
  <c r="BS90" i="2"/>
  <c r="BS91" i="2"/>
  <c r="BS61" i="2"/>
  <c r="BS60" i="2"/>
  <c r="BS58" i="2"/>
  <c r="BS49" i="2"/>
  <c r="BS47" i="2"/>
  <c r="BS25" i="2"/>
  <c r="BS16" i="2"/>
  <c r="BS40" i="2"/>
  <c r="BS41" i="2"/>
  <c r="BS8" i="2"/>
  <c r="BT39" i="2"/>
  <c r="BT298" i="2"/>
  <c r="BU91" i="2"/>
  <c r="BU292" i="2"/>
  <c r="BU140" i="2"/>
  <c r="BV85" i="2"/>
  <c r="BT89" i="2"/>
  <c r="BV89" i="2"/>
  <c r="BV257" i="2"/>
  <c r="BS140" i="2"/>
  <c r="BT140" i="2"/>
  <c r="BU62" i="2"/>
  <c r="BU85" i="2"/>
  <c r="BS191" i="2"/>
  <c r="BS89" i="2"/>
  <c r="BS39" i="2"/>
  <c r="BU290" i="2"/>
  <c r="BT290" i="2"/>
  <c r="L260" i="1"/>
  <c r="L259" i="1"/>
  <c r="M159" i="1"/>
  <c r="BT292" i="2"/>
  <c r="BQ250" i="2"/>
  <c r="BR53" i="2"/>
  <c r="BR278" i="2"/>
  <c r="BR277" i="2"/>
  <c r="BR276" i="2"/>
  <c r="BQ75" i="2"/>
  <c r="BR3" i="2"/>
  <c r="M283" i="1"/>
  <c r="M282" i="1"/>
  <c r="L283" i="1"/>
  <c r="L282" i="1"/>
  <c r="L280" i="1"/>
  <c r="M267" i="1"/>
  <c r="L267" i="1"/>
  <c r="M259" i="1"/>
  <c r="M195" i="1"/>
  <c r="BR283" i="2"/>
  <c r="BQ283" i="2"/>
  <c r="BR282" i="2"/>
  <c r="BQ282" i="2"/>
  <c r="BQ278" i="2"/>
  <c r="BQ277" i="2"/>
  <c r="BQ276" i="2"/>
  <c r="BR269" i="2"/>
  <c r="BQ269" i="2"/>
  <c r="BR268" i="2"/>
  <c r="BR264" i="2"/>
  <c r="BQ268" i="2"/>
  <c r="BR261" i="2"/>
  <c r="BQ261" i="2"/>
  <c r="BQ273" i="2"/>
  <c r="BR260" i="2"/>
  <c r="BR272" i="2"/>
  <c r="BQ260" i="2"/>
  <c r="BQ272" i="2"/>
  <c r="BR258" i="2"/>
  <c r="BQ258" i="2"/>
  <c r="BQ257" i="2"/>
  <c r="BQ233" i="2"/>
  <c r="BQ238" i="2"/>
  <c r="BQ252" i="2"/>
  <c r="BR250" i="2"/>
  <c r="BR252" i="2"/>
  <c r="BQ244" i="2"/>
  <c r="BQ242" i="2"/>
  <c r="BR242" i="2"/>
  <c r="BO238" i="2"/>
  <c r="BP238" i="2"/>
  <c r="BQ228" i="2"/>
  <c r="BQ219" i="2"/>
  <c r="BQ214" i="2"/>
  <c r="BQ211" i="2"/>
  <c r="BR163" i="2"/>
  <c r="M301" i="1"/>
  <c r="M44" i="1"/>
  <c r="BR233" i="2"/>
  <c r="BR238" i="2"/>
  <c r="BR228" i="2"/>
  <c r="BR219" i="2"/>
  <c r="BR243" i="2"/>
  <c r="BR244" i="2"/>
  <c r="BR214" i="2"/>
  <c r="BR211" i="2"/>
  <c r="BO3" i="2"/>
  <c r="BR104" i="2"/>
  <c r="M155" i="1"/>
  <c r="M4" i="1"/>
  <c r="I52" i="3"/>
  <c r="I48" i="3"/>
  <c r="I46" i="3"/>
  <c r="I33" i="3"/>
  <c r="I26" i="3"/>
  <c r="I25" i="3"/>
  <c r="M303" i="1"/>
  <c r="M297" i="1"/>
  <c r="M295" i="1"/>
  <c r="M201" i="1"/>
  <c r="M199" i="1"/>
  <c r="M193" i="1"/>
  <c r="M179" i="1"/>
  <c r="M150" i="1"/>
  <c r="M148" i="1"/>
  <c r="M142" i="1"/>
  <c r="M92" i="1"/>
  <c r="M50" i="1"/>
  <c r="M48" i="1"/>
  <c r="M28" i="1"/>
  <c r="BR191" i="2"/>
  <c r="BR184" i="2"/>
  <c r="BR148" i="2"/>
  <c r="BR133" i="2"/>
  <c r="BR99" i="2"/>
  <c r="BR82" i="2"/>
  <c r="BR32" i="2"/>
  <c r="H33" i="3"/>
  <c r="I28" i="3"/>
  <c r="H28" i="3"/>
  <c r="H25" i="3"/>
  <c r="L179" i="1"/>
  <c r="L128" i="1"/>
  <c r="L28" i="1"/>
  <c r="BQ184" i="2"/>
  <c r="BQ133" i="2"/>
  <c r="BQ82" i="2"/>
  <c r="BQ32" i="2"/>
  <c r="BQ168" i="2"/>
  <c r="BQ190" i="2"/>
  <c r="BQ191" i="2"/>
  <c r="BQ117" i="2"/>
  <c r="BQ139" i="2"/>
  <c r="BQ140" i="2"/>
  <c r="BQ16" i="2"/>
  <c r="BQ40" i="2"/>
  <c r="BQ41" i="2"/>
  <c r="BQ8" i="2"/>
  <c r="I54" i="3"/>
  <c r="H42" i="3"/>
  <c r="I42" i="3"/>
  <c r="L188" i="1"/>
  <c r="L155" i="1"/>
  <c r="L4" i="1"/>
  <c r="BQ201" i="2"/>
  <c r="BQ150" i="2"/>
  <c r="BQ99" i="2"/>
  <c r="BQ49" i="2"/>
  <c r="BQ47" i="2"/>
  <c r="G54" i="3"/>
  <c r="F54" i="3"/>
  <c r="K303" i="1"/>
  <c r="K150" i="1"/>
  <c r="J150" i="1"/>
  <c r="J303" i="1"/>
  <c r="K201" i="1"/>
  <c r="J201" i="1"/>
  <c r="J100" i="1"/>
  <c r="J50" i="1"/>
  <c r="K50" i="1"/>
  <c r="BP282" i="2"/>
  <c r="BO282" i="2"/>
  <c r="BP49" i="2"/>
  <c r="BP47" i="2"/>
  <c r="BP162" i="2"/>
  <c r="K155" i="1"/>
  <c r="K4" i="1"/>
  <c r="BP104" i="2"/>
  <c r="BP53" i="2"/>
  <c r="BP3" i="2"/>
  <c r="J188" i="1"/>
  <c r="BO283" i="2"/>
  <c r="J35" i="1"/>
  <c r="J37" i="1"/>
  <c r="BR301" i="2"/>
  <c r="BR300" i="2"/>
  <c r="BO49" i="2"/>
  <c r="BO47" i="2"/>
  <c r="K283" i="1"/>
  <c r="K282" i="1"/>
  <c r="M289" i="1"/>
  <c r="L289" i="1"/>
  <c r="K289" i="1"/>
  <c r="M288" i="1"/>
  <c r="L288" i="1"/>
  <c r="K288" i="1"/>
  <c r="M287" i="1"/>
  <c r="L287" i="1"/>
  <c r="K287" i="1"/>
  <c r="J289" i="1"/>
  <c r="J287" i="1"/>
  <c r="M278" i="1"/>
  <c r="L278" i="1"/>
  <c r="K278" i="1"/>
  <c r="M277" i="1"/>
  <c r="L277" i="1"/>
  <c r="K277" i="1"/>
  <c r="J277" i="1"/>
  <c r="J279" i="1"/>
  <c r="J284" i="1"/>
  <c r="J64" i="1"/>
  <c r="J66" i="1"/>
  <c r="J93" i="1"/>
  <c r="J56" i="1"/>
  <c r="J58" i="1"/>
  <c r="J70" i="1"/>
  <c r="J14" i="1"/>
  <c r="J6" i="1"/>
  <c r="J8" i="1"/>
  <c r="J20" i="1"/>
  <c r="F42" i="3"/>
  <c r="F31" i="3"/>
  <c r="F36" i="3"/>
  <c r="G42" i="3"/>
  <c r="G31" i="3"/>
  <c r="G36" i="3"/>
  <c r="J155" i="1"/>
  <c r="J4" i="1"/>
  <c r="M268" i="1"/>
  <c r="M269" i="1"/>
  <c r="L268" i="1"/>
  <c r="K268" i="1"/>
  <c r="J268" i="1"/>
  <c r="K267" i="1"/>
  <c r="M260" i="1"/>
  <c r="K260" i="1"/>
  <c r="J260" i="1"/>
  <c r="K259" i="1"/>
  <c r="M188" i="1"/>
  <c r="K188" i="1"/>
  <c r="M177" i="1"/>
  <c r="L177" i="1"/>
  <c r="K177" i="1"/>
  <c r="K182" i="1"/>
  <c r="J177" i="1"/>
  <c r="J182" i="1"/>
  <c r="M167" i="1"/>
  <c r="L167" i="1"/>
  <c r="L194" i="1"/>
  <c r="K167" i="1"/>
  <c r="K194" i="1"/>
  <c r="J167" i="1"/>
  <c r="J194" i="1"/>
  <c r="L159" i="1"/>
  <c r="L171" i="1"/>
  <c r="K159" i="1"/>
  <c r="K171" i="1"/>
  <c r="J159" i="1"/>
  <c r="J171" i="1"/>
  <c r="M137" i="1"/>
  <c r="L137" i="1"/>
  <c r="K137" i="1"/>
  <c r="J137" i="1"/>
  <c r="M126" i="1"/>
  <c r="M131" i="1"/>
  <c r="L126" i="1"/>
  <c r="K126" i="1"/>
  <c r="K131" i="1"/>
  <c r="J126" i="1"/>
  <c r="J131" i="1"/>
  <c r="M116" i="1"/>
  <c r="M143" i="1"/>
  <c r="M144" i="1"/>
  <c r="L116" i="1"/>
  <c r="L143" i="1"/>
  <c r="K116" i="1"/>
  <c r="K143" i="1"/>
  <c r="J116" i="1"/>
  <c r="J143" i="1"/>
  <c r="M112" i="1"/>
  <c r="L112" i="1"/>
  <c r="K112" i="1"/>
  <c r="J112" i="1"/>
  <c r="M108" i="1"/>
  <c r="M120" i="1"/>
  <c r="L108" i="1"/>
  <c r="L120" i="1"/>
  <c r="K108" i="1"/>
  <c r="K120" i="1"/>
  <c r="J108" i="1"/>
  <c r="J119" i="1"/>
  <c r="J120" i="1"/>
  <c r="M87" i="1"/>
  <c r="L87" i="1"/>
  <c r="K87" i="1"/>
  <c r="J87" i="1"/>
  <c r="M76" i="1"/>
  <c r="M81" i="1"/>
  <c r="L76" i="1"/>
  <c r="L81" i="1"/>
  <c r="K76" i="1"/>
  <c r="K81" i="1"/>
  <c r="J76" i="1"/>
  <c r="J81" i="1"/>
  <c r="M66" i="1"/>
  <c r="M93" i="1"/>
  <c r="M94" i="1"/>
  <c r="L66" i="1"/>
  <c r="L93" i="1"/>
  <c r="K66" i="1"/>
  <c r="K93" i="1"/>
  <c r="M62" i="1"/>
  <c r="L62" i="1"/>
  <c r="K62" i="1"/>
  <c r="J62" i="1"/>
  <c r="M58" i="1"/>
  <c r="M70" i="1"/>
  <c r="L58" i="1"/>
  <c r="L70" i="1"/>
  <c r="K58" i="1"/>
  <c r="K70" i="1"/>
  <c r="M37" i="1"/>
  <c r="L37" i="1"/>
  <c r="K37" i="1"/>
  <c r="M26" i="1"/>
  <c r="L26" i="1"/>
  <c r="K26" i="1"/>
  <c r="K31" i="1"/>
  <c r="J26" i="1"/>
  <c r="J31" i="1"/>
  <c r="M16" i="1"/>
  <c r="L16" i="1"/>
  <c r="K16" i="1"/>
  <c r="K43" i="1"/>
  <c r="M12" i="1"/>
  <c r="L12" i="1"/>
  <c r="K12" i="1"/>
  <c r="J12" i="1"/>
  <c r="M8" i="1"/>
  <c r="M20" i="1"/>
  <c r="L8" i="1"/>
  <c r="L20" i="1"/>
  <c r="K8" i="1"/>
  <c r="K20" i="1"/>
  <c r="BO104" i="2"/>
  <c r="BO53" i="2"/>
  <c r="BO301" i="2"/>
  <c r="BO300" i="2"/>
  <c r="BR201" i="2"/>
  <c r="BP201" i="2"/>
  <c r="BR199" i="2"/>
  <c r="BQ199" i="2"/>
  <c r="BP199" i="2"/>
  <c r="BR182" i="2"/>
  <c r="BQ182" i="2"/>
  <c r="BP182" i="2"/>
  <c r="BP187" i="2"/>
  <c r="BR177" i="2"/>
  <c r="BQ177" i="2"/>
  <c r="BP177" i="2"/>
  <c r="BR168" i="2"/>
  <c r="BR192" i="2"/>
  <c r="BR193" i="2"/>
  <c r="BP168" i="2"/>
  <c r="BQ163" i="2"/>
  <c r="BP163" i="2"/>
  <c r="BR162" i="2"/>
  <c r="BQ162" i="2"/>
  <c r="BR160" i="2"/>
  <c r="BQ160" i="2"/>
  <c r="BP160" i="2"/>
  <c r="BR150" i="2"/>
  <c r="BP150" i="2"/>
  <c r="BQ148" i="2"/>
  <c r="BP148" i="2"/>
  <c r="BR131" i="2"/>
  <c r="BQ131" i="2"/>
  <c r="BP131" i="2"/>
  <c r="BP136" i="2"/>
  <c r="BR126" i="2"/>
  <c r="BQ126" i="2"/>
  <c r="BP126" i="2"/>
  <c r="BR117" i="2"/>
  <c r="BR139" i="2"/>
  <c r="BR140" i="2"/>
  <c r="BP117" i="2"/>
  <c r="BP141" i="2"/>
  <c r="BP142" i="2"/>
  <c r="BR112" i="2"/>
  <c r="BQ112" i="2"/>
  <c r="BP112" i="2"/>
  <c r="BR111" i="2"/>
  <c r="BQ111" i="2"/>
  <c r="BP111" i="2"/>
  <c r="BR109" i="2"/>
  <c r="BQ109" i="2"/>
  <c r="BP109" i="2"/>
  <c r="BP99" i="2"/>
  <c r="BR97" i="2"/>
  <c r="BQ97" i="2"/>
  <c r="BP97" i="2"/>
  <c r="BR80" i="2"/>
  <c r="BQ80" i="2"/>
  <c r="BP80" i="2"/>
  <c r="BP85" i="2"/>
  <c r="BR75" i="2"/>
  <c r="BP75" i="2"/>
  <c r="BR66" i="2"/>
  <c r="BR90" i="2"/>
  <c r="BR91" i="2"/>
  <c r="BQ66" i="2"/>
  <c r="BQ88" i="2"/>
  <c r="BQ89" i="2"/>
  <c r="BP66" i="2"/>
  <c r="BP90" i="2"/>
  <c r="BP91" i="2"/>
  <c r="BR61" i="2"/>
  <c r="BQ61" i="2"/>
  <c r="BP61" i="2"/>
  <c r="BR60" i="2"/>
  <c r="BQ60" i="2"/>
  <c r="BP60" i="2"/>
  <c r="BR58" i="2"/>
  <c r="BQ58" i="2"/>
  <c r="BP58" i="2"/>
  <c r="BQ301" i="2"/>
  <c r="BQ290" i="2"/>
  <c r="BP301" i="2"/>
  <c r="BP298" i="2"/>
  <c r="BP283" i="2"/>
  <c r="BP278" i="2"/>
  <c r="BO278" i="2"/>
  <c r="BP277" i="2"/>
  <c r="BO277" i="2"/>
  <c r="BP276" i="2"/>
  <c r="BO276" i="2"/>
  <c r="BP269" i="2"/>
  <c r="BO269" i="2"/>
  <c r="BP268" i="2"/>
  <c r="BO268" i="2"/>
  <c r="BP261" i="2"/>
  <c r="BP273" i="2"/>
  <c r="BO261" i="2"/>
  <c r="BO273" i="2"/>
  <c r="BP260" i="2"/>
  <c r="BP272" i="2"/>
  <c r="BO260" i="2"/>
  <c r="BO272" i="2"/>
  <c r="BP258" i="2"/>
  <c r="BO258" i="2"/>
  <c r="BO202" i="2"/>
  <c r="BO199" i="2"/>
  <c r="BO182" i="2"/>
  <c r="BO187" i="2"/>
  <c r="BO177" i="2"/>
  <c r="BO168" i="2"/>
  <c r="BO192" i="2"/>
  <c r="BO163" i="2"/>
  <c r="BO160" i="2"/>
  <c r="BO150" i="2"/>
  <c r="BO148" i="2"/>
  <c r="BO131" i="2"/>
  <c r="BO136" i="2"/>
  <c r="BO126" i="2"/>
  <c r="BO117" i="2"/>
  <c r="BO141" i="2"/>
  <c r="BO142" i="2"/>
  <c r="BO112" i="2"/>
  <c r="BO111" i="2"/>
  <c r="BO109" i="2"/>
  <c r="BO99" i="2"/>
  <c r="BO97" i="2"/>
  <c r="BO80" i="2"/>
  <c r="BO85" i="2"/>
  <c r="BO75" i="2"/>
  <c r="BO66" i="2"/>
  <c r="BO90" i="2"/>
  <c r="BO91" i="2"/>
  <c r="BO61" i="2"/>
  <c r="BO60" i="2"/>
  <c r="BO58" i="2"/>
  <c r="BR49" i="2"/>
  <c r="BR47" i="2"/>
  <c r="BR30" i="2"/>
  <c r="BQ30" i="2"/>
  <c r="BP30" i="2"/>
  <c r="BP35" i="2"/>
  <c r="BO30" i="2"/>
  <c r="BO35" i="2"/>
  <c r="BR25" i="2"/>
  <c r="BQ25" i="2"/>
  <c r="BP25" i="2"/>
  <c r="BO25" i="2"/>
  <c r="BR16" i="2"/>
  <c r="BR40" i="2"/>
  <c r="BR41" i="2"/>
  <c r="BP16" i="2"/>
  <c r="BP40" i="2"/>
  <c r="BP41" i="2"/>
  <c r="BO16" i="2"/>
  <c r="BO38" i="2"/>
  <c r="BO39" i="2"/>
  <c r="BR11" i="2"/>
  <c r="BQ11" i="2"/>
  <c r="BP11" i="2"/>
  <c r="BO11" i="2"/>
  <c r="BR10" i="2"/>
  <c r="BQ10" i="2"/>
  <c r="BP10" i="2"/>
  <c r="BO10" i="2"/>
  <c r="BR8" i="2"/>
  <c r="BP8" i="2"/>
  <c r="BO8" i="2"/>
  <c r="I28" i="1"/>
  <c r="I30" i="1"/>
  <c r="I29" i="1"/>
  <c r="I27" i="1"/>
  <c r="H26" i="1"/>
  <c r="H31" i="1"/>
  <c r="BN298" i="2"/>
  <c r="BN282" i="2"/>
  <c r="BN201" i="2"/>
  <c r="BN199" i="2"/>
  <c r="BN150" i="2"/>
  <c r="BN99" i="2"/>
  <c r="BN49" i="2"/>
  <c r="I155" i="1"/>
  <c r="I4" i="1"/>
  <c r="I259" i="1"/>
  <c r="I260" i="1"/>
  <c r="I267" i="1"/>
  <c r="I268" i="1"/>
  <c r="I188" i="1"/>
  <c r="I177" i="1"/>
  <c r="I182" i="1"/>
  <c r="I167" i="1"/>
  <c r="I194" i="1"/>
  <c r="I159" i="1"/>
  <c r="I137" i="1"/>
  <c r="I126" i="1"/>
  <c r="I131" i="1"/>
  <c r="I116" i="1"/>
  <c r="I143" i="1"/>
  <c r="H116" i="1"/>
  <c r="H143" i="1"/>
  <c r="I112" i="1"/>
  <c r="I108" i="1"/>
  <c r="I120" i="1"/>
  <c r="I87" i="1"/>
  <c r="I76" i="1"/>
  <c r="I81" i="1"/>
  <c r="I66" i="1"/>
  <c r="I93" i="1"/>
  <c r="I62" i="1"/>
  <c r="I58" i="1"/>
  <c r="I70" i="1"/>
  <c r="I290" i="1"/>
  <c r="I279" i="1"/>
  <c r="I284" i="1"/>
  <c r="I37" i="1"/>
  <c r="I26" i="1"/>
  <c r="I16" i="1"/>
  <c r="I43" i="1"/>
  <c r="I12" i="1"/>
  <c r="I8" i="1"/>
  <c r="I20" i="1"/>
  <c r="E42" i="3"/>
  <c r="E31" i="3"/>
  <c r="E36" i="3"/>
  <c r="BN80" i="2"/>
  <c r="BN85" i="2"/>
  <c r="BN300" i="2"/>
  <c r="BN257" i="2"/>
  <c r="BN258" i="2"/>
  <c r="BN260" i="2"/>
  <c r="BN272" i="2"/>
  <c r="BN261" i="2"/>
  <c r="BN273" i="2"/>
  <c r="BN268" i="2"/>
  <c r="BN269" i="2"/>
  <c r="BN276" i="2"/>
  <c r="BN277" i="2"/>
  <c r="BN278" i="2"/>
  <c r="BN283" i="2"/>
  <c r="BN182" i="2"/>
  <c r="BN187" i="2"/>
  <c r="BN177" i="2"/>
  <c r="BN168" i="2"/>
  <c r="BN190" i="2"/>
  <c r="BN191" i="2"/>
  <c r="BN162" i="2"/>
  <c r="BN163" i="2"/>
  <c r="BN160" i="2"/>
  <c r="BN148" i="2"/>
  <c r="BN131" i="2"/>
  <c r="BN136" i="2"/>
  <c r="BN126" i="2"/>
  <c r="BN117" i="2"/>
  <c r="BN111" i="2"/>
  <c r="BN112" i="2"/>
  <c r="BN109" i="2"/>
  <c r="BN97" i="2"/>
  <c r="BN89" i="2"/>
  <c r="BN75" i="2"/>
  <c r="BN66" i="2"/>
  <c r="BN60" i="2"/>
  <c r="BN61" i="2"/>
  <c r="BN58" i="2"/>
  <c r="BN47" i="2"/>
  <c r="BN25" i="2"/>
  <c r="BN16" i="2"/>
  <c r="BN10" i="2"/>
  <c r="BN11" i="2"/>
  <c r="BN8" i="2"/>
  <c r="BN30" i="2"/>
  <c r="BN35" i="2"/>
  <c r="D42" i="3"/>
  <c r="D31" i="3"/>
  <c r="D36" i="3"/>
  <c r="H290" i="1"/>
  <c r="H279" i="1"/>
  <c r="H284" i="1"/>
  <c r="H268" i="1"/>
  <c r="H267" i="1"/>
  <c r="H260" i="1"/>
  <c r="H259" i="1"/>
  <c r="H188" i="1"/>
  <c r="H177" i="1"/>
  <c r="H182" i="1"/>
  <c r="H167" i="1"/>
  <c r="H194" i="1"/>
  <c r="H159" i="1"/>
  <c r="G155" i="1"/>
  <c r="H155" i="1"/>
  <c r="H137" i="1"/>
  <c r="H126" i="1"/>
  <c r="H131" i="1"/>
  <c r="H112" i="1"/>
  <c r="H108" i="1"/>
  <c r="H120" i="1"/>
  <c r="H76" i="1"/>
  <c r="H81" i="1"/>
  <c r="H87" i="1"/>
  <c r="H66" i="1"/>
  <c r="H93" i="1"/>
  <c r="H62" i="1"/>
  <c r="H58" i="1"/>
  <c r="H70" i="1"/>
  <c r="H37" i="1"/>
  <c r="H16" i="1"/>
  <c r="H43" i="1"/>
  <c r="H12" i="1"/>
  <c r="H8" i="1"/>
  <c r="H20" i="1"/>
  <c r="H4" i="1"/>
  <c r="BM155" i="2"/>
  <c r="G4" i="1"/>
  <c r="BM104" i="2"/>
  <c r="BM53" i="2"/>
  <c r="BM3" i="2"/>
  <c r="BM99" i="2"/>
  <c r="BM49" i="2"/>
  <c r="BM301" i="2"/>
  <c r="BM282" i="2"/>
  <c r="BM283" i="2"/>
  <c r="BM278" i="2"/>
  <c r="BM277" i="2"/>
  <c r="BM276" i="2"/>
  <c r="BM269" i="2"/>
  <c r="BM268" i="2"/>
  <c r="BM261" i="2"/>
  <c r="BM273" i="2"/>
  <c r="BM260" i="2"/>
  <c r="BM272" i="2"/>
  <c r="BM258" i="2"/>
  <c r="BM202" i="2"/>
  <c r="BM201" i="2"/>
  <c r="BM182" i="2"/>
  <c r="BM187" i="2"/>
  <c r="BM177" i="2"/>
  <c r="BM168" i="2"/>
  <c r="BM190" i="2"/>
  <c r="BM163" i="2"/>
  <c r="BM162" i="2"/>
  <c r="BM160" i="2"/>
  <c r="BM150" i="2"/>
  <c r="BM148" i="2"/>
  <c r="BM144" i="2"/>
  <c r="BM131" i="2"/>
  <c r="BM136" i="2"/>
  <c r="BM126" i="2"/>
  <c r="BM117" i="2"/>
  <c r="BM139" i="2"/>
  <c r="BM140" i="2"/>
  <c r="BM112" i="2"/>
  <c r="BM111" i="2"/>
  <c r="BM109" i="2"/>
  <c r="BM97" i="2"/>
  <c r="BM93" i="2"/>
  <c r="BM80" i="2"/>
  <c r="BM85" i="2"/>
  <c r="BM75" i="2"/>
  <c r="BM66" i="2"/>
  <c r="BM88" i="2"/>
  <c r="BM89" i="2"/>
  <c r="BM61" i="2"/>
  <c r="BM60" i="2"/>
  <c r="BM58" i="2"/>
  <c r="BM62" i="2"/>
  <c r="BM47" i="2"/>
  <c r="BM43" i="2"/>
  <c r="BM30" i="2"/>
  <c r="BM35" i="2"/>
  <c r="BM25" i="2"/>
  <c r="BM16" i="2"/>
  <c r="BM38" i="2"/>
  <c r="BM39" i="2"/>
  <c r="BM11" i="2"/>
  <c r="BM10" i="2"/>
  <c r="BM8" i="2"/>
  <c r="G288" i="1"/>
  <c r="F181" i="1"/>
  <c r="C33" i="3"/>
  <c r="C42" i="3"/>
  <c r="C31" i="3"/>
  <c r="G179" i="1"/>
  <c r="BL283" i="2"/>
  <c r="BL282" i="2"/>
  <c r="BL184" i="2"/>
  <c r="BL133" i="2"/>
  <c r="BL32" i="2"/>
  <c r="G281" i="1"/>
  <c r="G78" i="1"/>
  <c r="G128" i="1"/>
  <c r="BL82" i="2"/>
  <c r="G287" i="1"/>
  <c r="G279" i="1"/>
  <c r="G268" i="1"/>
  <c r="G267" i="1"/>
  <c r="G260" i="1"/>
  <c r="G259" i="1"/>
  <c r="G186" i="1"/>
  <c r="G188" i="1"/>
  <c r="G177" i="1"/>
  <c r="G167" i="1"/>
  <c r="G194" i="1"/>
  <c r="G159" i="1"/>
  <c r="G137" i="1"/>
  <c r="G126" i="1"/>
  <c r="G116" i="1"/>
  <c r="G143" i="1"/>
  <c r="G112" i="1"/>
  <c r="G108" i="1"/>
  <c r="G119" i="1"/>
  <c r="G120" i="1"/>
  <c r="G87" i="1"/>
  <c r="G76" i="1"/>
  <c r="G66" i="1"/>
  <c r="G93" i="1"/>
  <c r="G62" i="1"/>
  <c r="G58" i="1"/>
  <c r="G70" i="1"/>
  <c r="G37" i="1"/>
  <c r="G26" i="1"/>
  <c r="G31" i="1"/>
  <c r="G16" i="1"/>
  <c r="G43" i="1"/>
  <c r="G12" i="1"/>
  <c r="G8" i="1"/>
  <c r="G20" i="1"/>
  <c r="BL301" i="2"/>
  <c r="BL300" i="2"/>
  <c r="BL278" i="2"/>
  <c r="BL277" i="2"/>
  <c r="BL276" i="2"/>
  <c r="BL269" i="2"/>
  <c r="BL268" i="2"/>
  <c r="BL261" i="2"/>
  <c r="BL273" i="2"/>
  <c r="BL260" i="2"/>
  <c r="BL272" i="2"/>
  <c r="BL258" i="2"/>
  <c r="BL202" i="2"/>
  <c r="BL195" i="2"/>
  <c r="BL182" i="2"/>
  <c r="BL177" i="2"/>
  <c r="BL168" i="2"/>
  <c r="BL190" i="2"/>
  <c r="BL191" i="2"/>
  <c r="BL163" i="2"/>
  <c r="BL162" i="2"/>
  <c r="BL160" i="2"/>
  <c r="BL150" i="2"/>
  <c r="BL148" i="2"/>
  <c r="BL144" i="2"/>
  <c r="BL131" i="2"/>
  <c r="BL126" i="2"/>
  <c r="BL117" i="2"/>
  <c r="BL139" i="2"/>
  <c r="BL140" i="2"/>
  <c r="BL112" i="2"/>
  <c r="BL111" i="2"/>
  <c r="BL109" i="2"/>
  <c r="BL99" i="2"/>
  <c r="BL97" i="2"/>
  <c r="BL93" i="2"/>
  <c r="BL80" i="2"/>
  <c r="BL75" i="2"/>
  <c r="BL66" i="2"/>
  <c r="BL88" i="2"/>
  <c r="BL89" i="2"/>
  <c r="BL61" i="2"/>
  <c r="BL60" i="2"/>
  <c r="BL58" i="2"/>
  <c r="BL49" i="2"/>
  <c r="BL47" i="2"/>
  <c r="BL43" i="2"/>
  <c r="BL30" i="2"/>
  <c r="BL25" i="2"/>
  <c r="BL16" i="2"/>
  <c r="BL38" i="2"/>
  <c r="BL39" i="2"/>
  <c r="BL11" i="2"/>
  <c r="BL10" i="2"/>
  <c r="BL8" i="2"/>
  <c r="BL155" i="2"/>
  <c r="BL104" i="2"/>
  <c r="BL53" i="2"/>
  <c r="BL3" i="2"/>
  <c r="F281" i="1"/>
  <c r="F179" i="1"/>
  <c r="F155" i="1"/>
  <c r="F4" i="1"/>
  <c r="F288" i="1"/>
  <c r="F290" i="1"/>
  <c r="F279" i="1"/>
  <c r="F259" i="1"/>
  <c r="F268" i="1"/>
  <c r="F267" i="1"/>
  <c r="F260" i="1"/>
  <c r="F188" i="1"/>
  <c r="F177" i="1"/>
  <c r="F167" i="1"/>
  <c r="F194" i="1"/>
  <c r="F159" i="1"/>
  <c r="F171" i="1"/>
  <c r="F137" i="1"/>
  <c r="E137" i="1"/>
  <c r="F128" i="1"/>
  <c r="F126" i="1"/>
  <c r="F116" i="1"/>
  <c r="F143" i="1"/>
  <c r="F112" i="1"/>
  <c r="F108" i="1"/>
  <c r="F119" i="1"/>
  <c r="F120" i="1"/>
  <c r="F87" i="1"/>
  <c r="F78" i="1"/>
  <c r="F76" i="1"/>
  <c r="F66" i="1"/>
  <c r="F93" i="1"/>
  <c r="F62" i="1"/>
  <c r="F58" i="1"/>
  <c r="F70" i="1"/>
  <c r="F37" i="1"/>
  <c r="F26" i="1"/>
  <c r="F31" i="1"/>
  <c r="F16" i="1"/>
  <c r="F43" i="1"/>
  <c r="F12" i="1"/>
  <c r="F8" i="1"/>
  <c r="F20" i="1"/>
  <c r="BK184" i="2"/>
  <c r="BK301" i="2"/>
  <c r="BK300" i="2"/>
  <c r="BK282" i="2"/>
  <c r="BK278" i="2"/>
  <c r="BK277" i="2"/>
  <c r="BK276" i="2"/>
  <c r="BK269" i="2"/>
  <c r="BK268" i="2"/>
  <c r="BK261" i="2"/>
  <c r="BK273" i="2"/>
  <c r="BK260" i="2"/>
  <c r="BK272" i="2"/>
  <c r="BK258" i="2"/>
  <c r="BK202" i="2"/>
  <c r="BK195" i="2"/>
  <c r="BK185" i="2"/>
  <c r="BK183" i="2"/>
  <c r="BK182" i="2"/>
  <c r="BK177" i="2"/>
  <c r="BK168" i="2"/>
  <c r="BK190" i="2"/>
  <c r="BK163" i="2"/>
  <c r="BK162" i="2"/>
  <c r="BK160" i="2"/>
  <c r="BK155" i="2"/>
  <c r="BK150" i="2"/>
  <c r="BK148" i="2"/>
  <c r="BK144" i="2"/>
  <c r="BK133" i="2"/>
  <c r="BK131" i="2"/>
  <c r="BK126" i="2"/>
  <c r="BK117" i="2"/>
  <c r="BK112" i="2"/>
  <c r="BK111" i="2"/>
  <c r="BK109" i="2"/>
  <c r="BK104" i="2"/>
  <c r="BK99" i="2"/>
  <c r="BK97" i="2"/>
  <c r="BK93" i="2"/>
  <c r="BK82" i="2"/>
  <c r="BK80" i="2"/>
  <c r="BK75" i="2"/>
  <c r="BK66" i="2"/>
  <c r="BK88" i="2"/>
  <c r="BK89" i="2"/>
  <c r="BK61" i="2"/>
  <c r="BK60" i="2"/>
  <c r="BK58" i="2"/>
  <c r="BK53" i="2"/>
  <c r="BK43" i="2"/>
  <c r="BK49" i="2"/>
  <c r="BK47" i="2"/>
  <c r="BK32" i="2"/>
  <c r="BK34" i="2"/>
  <c r="BK29" i="2"/>
  <c r="BK30" i="2"/>
  <c r="BK25" i="2"/>
  <c r="BK3" i="2"/>
  <c r="BK11" i="2"/>
  <c r="BK10" i="2"/>
  <c r="BK8" i="2"/>
  <c r="BK16" i="2"/>
  <c r="E64" i="1"/>
  <c r="E66" i="1"/>
  <c r="E4" i="1"/>
  <c r="D4" i="1"/>
  <c r="BJ181" i="2"/>
  <c r="BJ180" i="2"/>
  <c r="BJ135" i="2"/>
  <c r="BJ132" i="2"/>
  <c r="BJ130" i="2"/>
  <c r="BJ129" i="2"/>
  <c r="BJ84" i="2"/>
  <c r="BJ79" i="2"/>
  <c r="BJ78" i="2"/>
  <c r="BJ80" i="2"/>
  <c r="BJ85" i="2"/>
  <c r="BJ31" i="2"/>
  <c r="BJ29" i="2"/>
  <c r="BJ30" i="2"/>
  <c r="E281" i="1"/>
  <c r="E283" i="1"/>
  <c r="E282" i="1"/>
  <c r="E280" i="1"/>
  <c r="E277" i="1"/>
  <c r="E279" i="1"/>
  <c r="BJ184" i="2"/>
  <c r="BJ186" i="2"/>
  <c r="BJ14" i="2"/>
  <c r="BJ10" i="2"/>
  <c r="E288" i="1"/>
  <c r="E290" i="1"/>
  <c r="E78" i="1"/>
  <c r="E80" i="1"/>
  <c r="E79" i="1"/>
  <c r="E74" i="1"/>
  <c r="E76" i="1"/>
  <c r="BJ133" i="2"/>
  <c r="BJ43" i="2"/>
  <c r="BJ49" i="2"/>
  <c r="BJ82" i="2"/>
  <c r="D288" i="1"/>
  <c r="D281" i="1"/>
  <c r="D128" i="1"/>
  <c r="D78" i="1"/>
  <c r="BI184" i="2"/>
  <c r="BI133" i="2"/>
  <c r="BI82" i="2"/>
  <c r="BI32" i="2"/>
  <c r="E269" i="1"/>
  <c r="E261" i="1"/>
  <c r="E273" i="1"/>
  <c r="E157" i="1"/>
  <c r="E159" i="1"/>
  <c r="E188" i="1"/>
  <c r="E177" i="1"/>
  <c r="E167" i="1"/>
  <c r="E128" i="1"/>
  <c r="E126" i="1"/>
  <c r="E108" i="1"/>
  <c r="E120" i="1"/>
  <c r="E116" i="1"/>
  <c r="E112" i="1"/>
  <c r="E87" i="1"/>
  <c r="D87" i="1"/>
  <c r="E58" i="1"/>
  <c r="E70" i="1"/>
  <c r="E37" i="1"/>
  <c r="E26" i="1"/>
  <c r="E31" i="1"/>
  <c r="E16" i="1"/>
  <c r="E12" i="1"/>
  <c r="BJ301" i="2"/>
  <c r="BJ300" i="2"/>
  <c r="BJ278" i="2"/>
  <c r="BJ277" i="2"/>
  <c r="BJ276" i="2"/>
  <c r="BJ269" i="2"/>
  <c r="BJ261" i="2"/>
  <c r="BJ273" i="2"/>
  <c r="BJ260" i="2"/>
  <c r="BJ272" i="2"/>
  <c r="BJ258" i="2"/>
  <c r="BJ177" i="2"/>
  <c r="BJ168" i="2"/>
  <c r="BJ163" i="2"/>
  <c r="BJ162" i="2"/>
  <c r="BJ160" i="2"/>
  <c r="BJ126" i="2"/>
  <c r="BJ117" i="2"/>
  <c r="BJ112" i="2"/>
  <c r="BJ111" i="2"/>
  <c r="BJ109" i="2"/>
  <c r="BJ100" i="2"/>
  <c r="BJ75" i="2"/>
  <c r="BJ66" i="2"/>
  <c r="BJ61" i="2"/>
  <c r="BJ60" i="2"/>
  <c r="BJ58" i="2"/>
  <c r="BJ47" i="2"/>
  <c r="BJ25" i="2"/>
  <c r="BJ11" i="2"/>
  <c r="BJ8" i="2"/>
  <c r="BJ155" i="2"/>
  <c r="BJ104" i="2"/>
  <c r="BJ53" i="2"/>
  <c r="BJ3" i="2"/>
  <c r="D290" i="1"/>
  <c r="D279" i="1"/>
  <c r="D269" i="1"/>
  <c r="D261" i="1"/>
  <c r="D273" i="1"/>
  <c r="D126" i="1"/>
  <c r="D116" i="1"/>
  <c r="D112" i="1"/>
  <c r="D108" i="1"/>
  <c r="D120" i="1"/>
  <c r="D76" i="1"/>
  <c r="D66" i="1"/>
  <c r="D37" i="1"/>
  <c r="D26" i="1"/>
  <c r="D31" i="1"/>
  <c r="D12" i="1"/>
  <c r="D8" i="1"/>
  <c r="D20" i="1"/>
  <c r="BI155" i="2"/>
  <c r="BI104" i="2"/>
  <c r="BI53" i="2"/>
  <c r="BI3" i="2"/>
  <c r="BI301" i="2"/>
  <c r="BI298" i="2"/>
  <c r="BI283" i="2"/>
  <c r="BI282" i="2"/>
  <c r="BI278" i="2"/>
  <c r="BI277" i="2"/>
  <c r="BI276" i="2"/>
  <c r="BI269" i="2"/>
  <c r="BI268" i="2"/>
  <c r="BI264" i="2"/>
  <c r="BI261" i="2"/>
  <c r="BI273" i="2"/>
  <c r="BI260" i="2"/>
  <c r="BI272" i="2"/>
  <c r="BI258" i="2"/>
  <c r="BI182" i="2"/>
  <c r="BI177" i="2"/>
  <c r="BI168" i="2"/>
  <c r="BI163" i="2"/>
  <c r="BI162" i="2"/>
  <c r="BI160" i="2"/>
  <c r="BI131" i="2"/>
  <c r="BI136" i="2"/>
  <c r="BI126" i="2"/>
  <c r="BI117" i="2"/>
  <c r="BI139" i="2"/>
  <c r="BI112" i="2"/>
  <c r="BI111" i="2"/>
  <c r="BI109" i="2"/>
  <c r="BI100" i="2"/>
  <c r="BI93" i="2"/>
  <c r="BI80" i="2"/>
  <c r="BI75" i="2"/>
  <c r="BI66" i="2"/>
  <c r="BI88" i="2"/>
  <c r="BI61" i="2"/>
  <c r="BI60" i="2"/>
  <c r="BI58" i="2"/>
  <c r="BI49" i="2"/>
  <c r="BI47" i="2"/>
  <c r="BI43" i="2"/>
  <c r="BI30" i="2"/>
  <c r="BI25" i="2"/>
  <c r="BI16" i="2"/>
  <c r="BI38" i="2"/>
  <c r="BI39" i="2"/>
  <c r="BI11" i="2"/>
  <c r="BI10" i="2"/>
  <c r="BI8" i="2"/>
  <c r="D16" i="1"/>
  <c r="D58" i="1"/>
  <c r="D70" i="1"/>
  <c r="E182" i="1"/>
  <c r="E8" i="1"/>
  <c r="E20" i="1"/>
  <c r="C290" i="1"/>
  <c r="C279" i="1"/>
  <c r="C284" i="1"/>
  <c r="C269" i="1"/>
  <c r="C261" i="1"/>
  <c r="C273" i="1"/>
  <c r="C112" i="1"/>
  <c r="C62" i="1"/>
  <c r="C12" i="1"/>
  <c r="C137" i="1"/>
  <c r="C126" i="1"/>
  <c r="C131" i="1"/>
  <c r="C116" i="1"/>
  <c r="C108" i="1"/>
  <c r="C120" i="1"/>
  <c r="C87" i="1"/>
  <c r="C76" i="1"/>
  <c r="C81" i="1"/>
  <c r="C66" i="1"/>
  <c r="C58" i="1"/>
  <c r="C70" i="1"/>
  <c r="C37" i="1"/>
  <c r="C26" i="1"/>
  <c r="C31" i="1"/>
  <c r="C16" i="1"/>
  <c r="C8" i="1"/>
  <c r="C20" i="1"/>
  <c r="BH301" i="2"/>
  <c r="BH300" i="2"/>
  <c r="BG301" i="2"/>
  <c r="BG300" i="2"/>
  <c r="BF301" i="2"/>
  <c r="BF298" i="2"/>
  <c r="BE301" i="2"/>
  <c r="BE300" i="2"/>
  <c r="BD301" i="2"/>
  <c r="BD300" i="2"/>
  <c r="BC301" i="2"/>
  <c r="BC298" i="2"/>
  <c r="BB301" i="2"/>
  <c r="BB298" i="2"/>
  <c r="BA301" i="2"/>
  <c r="BA294" i="2"/>
  <c r="AZ301" i="2"/>
  <c r="AZ300" i="2"/>
  <c r="AY301" i="2"/>
  <c r="AY300" i="2"/>
  <c r="AX301" i="2"/>
  <c r="AX298" i="2"/>
  <c r="AW301" i="2"/>
  <c r="AW300" i="2"/>
  <c r="AV301" i="2"/>
  <c r="AU301" i="2"/>
  <c r="AU298" i="2"/>
  <c r="AT301" i="2"/>
  <c r="AS301" i="2"/>
  <c r="AR301" i="2"/>
  <c r="AQ301" i="2"/>
  <c r="AP301" i="2"/>
  <c r="AO301" i="2"/>
  <c r="AN301" i="2"/>
  <c r="AM301" i="2"/>
  <c r="AL301" i="2"/>
  <c r="AK301" i="2"/>
  <c r="AJ301" i="2"/>
  <c r="AI301" i="2"/>
  <c r="AH301" i="2"/>
  <c r="AG301" i="2"/>
  <c r="AF301" i="2"/>
  <c r="AE301" i="2"/>
  <c r="AD301" i="2"/>
  <c r="AC301" i="2"/>
  <c r="AB301" i="2"/>
  <c r="AA301" i="2"/>
  <c r="Z301" i="2"/>
  <c r="Y301" i="2"/>
  <c r="X301" i="2"/>
  <c r="W301" i="2"/>
  <c r="V301" i="2"/>
  <c r="U301" i="2"/>
  <c r="T301" i="2"/>
  <c r="S301" i="2"/>
  <c r="R301" i="2"/>
  <c r="Q301" i="2"/>
  <c r="P301" i="2"/>
  <c r="O301" i="2"/>
  <c r="N301" i="2"/>
  <c r="M301" i="2"/>
  <c r="L301" i="2"/>
  <c r="K301" i="2"/>
  <c r="J301" i="2"/>
  <c r="I301" i="2"/>
  <c r="H301" i="2"/>
  <c r="G301" i="2"/>
  <c r="F301" i="2"/>
  <c r="E301" i="2"/>
  <c r="D301" i="2"/>
  <c r="C301" i="2"/>
  <c r="AS300" i="2"/>
  <c r="AQ300" i="2"/>
  <c r="AM300" i="2"/>
  <c r="AX299" i="2"/>
  <c r="AV299" i="2"/>
  <c r="AU299" i="2"/>
  <c r="AT299" i="2"/>
  <c r="AS299" i="2"/>
  <c r="AR299" i="2"/>
  <c r="AQ299" i="2"/>
  <c r="AM299" i="2"/>
  <c r="BH286" i="2"/>
  <c r="BH283" i="2"/>
  <c r="BG283" i="2"/>
  <c r="BF283" i="2"/>
  <c r="BE283" i="2"/>
  <c r="BC283" i="2"/>
  <c r="BC284" i="2"/>
  <c r="BB283" i="2"/>
  <c r="BA283" i="2"/>
  <c r="AY283" i="2"/>
  <c r="AX283" i="2"/>
  <c r="AW283" i="2"/>
  <c r="AV283" i="2"/>
  <c r="AU283" i="2"/>
  <c r="AT283" i="2"/>
  <c r="AS283" i="2"/>
  <c r="AR283" i="2"/>
  <c r="AQ283" i="2"/>
  <c r="AP283" i="2"/>
  <c r="AP284" i="2"/>
  <c r="AO283" i="2"/>
  <c r="AO284" i="2"/>
  <c r="AN283" i="2"/>
  <c r="AM283" i="2"/>
  <c r="AL283" i="2"/>
  <c r="AK283" i="2"/>
  <c r="AJ283" i="2"/>
  <c r="AI283" i="2"/>
  <c r="AH283" i="2"/>
  <c r="AG283" i="2"/>
  <c r="AF283" i="2"/>
  <c r="AE283" i="2"/>
  <c r="AD283" i="2"/>
  <c r="AD284" i="2"/>
  <c r="AC283" i="2"/>
  <c r="AB283" i="2"/>
  <c r="AA283" i="2"/>
  <c r="Z283" i="2"/>
  <c r="Y283" i="2"/>
  <c r="X283" i="2"/>
  <c r="W283" i="2"/>
  <c r="V283" i="2"/>
  <c r="U283" i="2"/>
  <c r="T283" i="2"/>
  <c r="S283" i="2"/>
  <c r="R283" i="2"/>
  <c r="R284" i="2"/>
  <c r="Q283" i="2"/>
  <c r="P283" i="2"/>
  <c r="O283" i="2"/>
  <c r="N283" i="2"/>
  <c r="M283" i="2"/>
  <c r="L283" i="2"/>
  <c r="K283" i="2"/>
  <c r="J283" i="2"/>
  <c r="I283" i="2"/>
  <c r="H283" i="2"/>
  <c r="G283" i="2"/>
  <c r="F283" i="2"/>
  <c r="C283" i="2"/>
  <c r="BH282" i="2"/>
  <c r="BG282" i="2"/>
  <c r="BF282" i="2"/>
  <c r="BE282" i="2"/>
  <c r="BC282" i="2"/>
  <c r="BB282" i="2"/>
  <c r="BA282" i="2"/>
  <c r="AY282" i="2"/>
  <c r="AX282" i="2"/>
  <c r="AW282" i="2"/>
  <c r="AW284" i="2"/>
  <c r="AV282" i="2"/>
  <c r="AV284" i="2"/>
  <c r="AU282" i="2"/>
  <c r="AT282" i="2"/>
  <c r="AS282" i="2"/>
  <c r="AR282" i="2"/>
  <c r="AQ282" i="2"/>
  <c r="AP282" i="2"/>
  <c r="AO282" i="2"/>
  <c r="AN282" i="2"/>
  <c r="AM282" i="2"/>
  <c r="AL282" i="2"/>
  <c r="AL284" i="2"/>
  <c r="AK282" i="2"/>
  <c r="AJ282" i="2"/>
  <c r="AJ284" i="2"/>
  <c r="AI282" i="2"/>
  <c r="AH282" i="2"/>
  <c r="AG282" i="2"/>
  <c r="AF282" i="2"/>
  <c r="AE282" i="2"/>
  <c r="AD282" i="2"/>
  <c r="AC282" i="2"/>
  <c r="AB282" i="2"/>
  <c r="AB284" i="2"/>
  <c r="AA282" i="2"/>
  <c r="Z282" i="2"/>
  <c r="Y282" i="2"/>
  <c r="X282" i="2"/>
  <c r="X284" i="2"/>
  <c r="W282" i="2"/>
  <c r="V282" i="2"/>
  <c r="U282" i="2"/>
  <c r="T282" i="2"/>
  <c r="S282" i="2"/>
  <c r="R282" i="2"/>
  <c r="Q282" i="2"/>
  <c r="Q284" i="2"/>
  <c r="P282" i="2"/>
  <c r="O282" i="2"/>
  <c r="N282" i="2"/>
  <c r="M282" i="2"/>
  <c r="L282" i="2"/>
  <c r="L284" i="2"/>
  <c r="K282" i="2"/>
  <c r="J282" i="2"/>
  <c r="I282" i="2"/>
  <c r="H282" i="2"/>
  <c r="G282" i="2"/>
  <c r="F282" i="2"/>
  <c r="F284" i="2"/>
  <c r="E282" i="2"/>
  <c r="D282" i="2"/>
  <c r="C282" i="2"/>
  <c r="T279" i="2"/>
  <c r="S279" i="2"/>
  <c r="R279" i="2"/>
  <c r="Q279" i="2"/>
  <c r="P279" i="2"/>
  <c r="O279" i="2"/>
  <c r="N279" i="2"/>
  <c r="M279" i="2"/>
  <c r="L279" i="2"/>
  <c r="K279" i="2"/>
  <c r="J279" i="2"/>
  <c r="I279" i="2"/>
  <c r="H279" i="2"/>
  <c r="G279" i="2"/>
  <c r="F279" i="2"/>
  <c r="E279" i="2"/>
  <c r="D279" i="2"/>
  <c r="C279" i="2"/>
  <c r="BH278" i="2"/>
  <c r="BG278" i="2"/>
  <c r="BF278" i="2"/>
  <c r="BF279" i="2"/>
  <c r="BE278" i="2"/>
  <c r="BD278" i="2"/>
  <c r="BC278" i="2"/>
  <c r="BB278" i="2"/>
  <c r="AZ278" i="2"/>
  <c r="AY278" i="2"/>
  <c r="AX278" i="2"/>
  <c r="AW278" i="2"/>
  <c r="AV278" i="2"/>
  <c r="AU278" i="2"/>
  <c r="AT278" i="2"/>
  <c r="AS278" i="2"/>
  <c r="AR278" i="2"/>
  <c r="AQ278" i="2"/>
  <c r="AP278" i="2"/>
  <c r="AO278" i="2"/>
  <c r="AN278" i="2"/>
  <c r="AM278" i="2"/>
  <c r="AL278" i="2"/>
  <c r="AK278" i="2"/>
  <c r="AJ278" i="2"/>
  <c r="AI278" i="2"/>
  <c r="AH278" i="2"/>
  <c r="AG278" i="2"/>
  <c r="AF278" i="2"/>
  <c r="AE278" i="2"/>
  <c r="AD278" i="2"/>
  <c r="AC278" i="2"/>
  <c r="AB278" i="2"/>
  <c r="AA278" i="2"/>
  <c r="Z278" i="2"/>
  <c r="Y278" i="2"/>
  <c r="X278" i="2"/>
  <c r="W278" i="2"/>
  <c r="V278" i="2"/>
  <c r="U278" i="2"/>
  <c r="T278" i="2"/>
  <c r="S278" i="2"/>
  <c r="R278" i="2"/>
  <c r="Q278" i="2"/>
  <c r="P278" i="2"/>
  <c r="O278" i="2"/>
  <c r="N278" i="2"/>
  <c r="M278" i="2"/>
  <c r="L278" i="2"/>
  <c r="K278" i="2"/>
  <c r="J278" i="2"/>
  <c r="I278" i="2"/>
  <c r="H278" i="2"/>
  <c r="G278" i="2"/>
  <c r="F278" i="2"/>
  <c r="E278" i="2"/>
  <c r="D278" i="2"/>
  <c r="C278" i="2"/>
  <c r="BH277" i="2"/>
  <c r="BG277" i="2"/>
  <c r="BF277" i="2"/>
  <c r="BE277" i="2"/>
  <c r="BD277" i="2"/>
  <c r="BC277" i="2"/>
  <c r="BB277" i="2"/>
  <c r="BA277" i="2"/>
  <c r="AZ277" i="2"/>
  <c r="AY277" i="2"/>
  <c r="AX277" i="2"/>
  <c r="AW277" i="2"/>
  <c r="AV277" i="2"/>
  <c r="AU277" i="2"/>
  <c r="AT277" i="2"/>
  <c r="AS277" i="2"/>
  <c r="AR277" i="2"/>
  <c r="AQ277" i="2"/>
  <c r="AQ279" i="2"/>
  <c r="AP277" i="2"/>
  <c r="AO277" i="2"/>
  <c r="AN277" i="2"/>
  <c r="AM277" i="2"/>
  <c r="AK277" i="2"/>
  <c r="AI277" i="2"/>
  <c r="AH277" i="2"/>
  <c r="AG277" i="2"/>
  <c r="AE277" i="2"/>
  <c r="AC277" i="2"/>
  <c r="AA277" i="2"/>
  <c r="Z277" i="2"/>
  <c r="Y277" i="2"/>
  <c r="X277" i="2"/>
  <c r="W277" i="2"/>
  <c r="V277" i="2"/>
  <c r="U277" i="2"/>
  <c r="T277" i="2"/>
  <c r="S277" i="2"/>
  <c r="R277" i="2"/>
  <c r="Q277" i="2"/>
  <c r="P277" i="2"/>
  <c r="O277" i="2"/>
  <c r="N277" i="2"/>
  <c r="M277" i="2"/>
  <c r="L277" i="2"/>
  <c r="K277" i="2"/>
  <c r="J277" i="2"/>
  <c r="I277" i="2"/>
  <c r="H277" i="2"/>
  <c r="G277" i="2"/>
  <c r="F277" i="2"/>
  <c r="E277" i="2"/>
  <c r="D277" i="2"/>
  <c r="C277" i="2"/>
  <c r="BH276" i="2"/>
  <c r="BH279" i="2"/>
  <c r="BG276" i="2"/>
  <c r="BF276" i="2"/>
  <c r="BE276" i="2"/>
  <c r="BD276" i="2"/>
  <c r="BC276" i="2"/>
  <c r="BB276" i="2"/>
  <c r="BA276" i="2"/>
  <c r="AZ276" i="2"/>
  <c r="AY276" i="2"/>
  <c r="AX276" i="2"/>
  <c r="AW276" i="2"/>
  <c r="AV276" i="2"/>
  <c r="AU276" i="2"/>
  <c r="AT276" i="2"/>
  <c r="AS276" i="2"/>
  <c r="AR276" i="2"/>
  <c r="AQ276" i="2"/>
  <c r="AP276" i="2"/>
  <c r="AO276" i="2"/>
  <c r="AN276" i="2"/>
  <c r="AM276" i="2"/>
  <c r="AL276" i="2"/>
  <c r="T276" i="2"/>
  <c r="S276" i="2"/>
  <c r="R276" i="2"/>
  <c r="Q276" i="2"/>
  <c r="P276" i="2"/>
  <c r="O276" i="2"/>
  <c r="N276" i="2"/>
  <c r="M276" i="2"/>
  <c r="L276" i="2"/>
  <c r="K276" i="2"/>
  <c r="J276" i="2"/>
  <c r="I276" i="2"/>
  <c r="H276" i="2"/>
  <c r="G276" i="2"/>
  <c r="F276" i="2"/>
  <c r="E276" i="2"/>
  <c r="D276" i="2"/>
  <c r="C276" i="2"/>
  <c r="BH269" i="2"/>
  <c r="BG269" i="2"/>
  <c r="BF269" i="2"/>
  <c r="BE269" i="2"/>
  <c r="BD269" i="2"/>
  <c r="BC269" i="2"/>
  <c r="BB269" i="2"/>
  <c r="BA269" i="2"/>
  <c r="BA265" i="2"/>
  <c r="AZ269" i="2"/>
  <c r="AY269" i="2"/>
  <c r="AX269" i="2"/>
  <c r="AW269" i="2"/>
  <c r="AV269" i="2"/>
  <c r="AU269" i="2"/>
  <c r="AT269" i="2"/>
  <c r="AS269" i="2"/>
  <c r="AR269" i="2"/>
  <c r="AQ269" i="2"/>
  <c r="AP269" i="2"/>
  <c r="AO269" i="2"/>
  <c r="AN269" i="2"/>
  <c r="AM269" i="2"/>
  <c r="AL269" i="2"/>
  <c r="AK269" i="2"/>
  <c r="AJ269" i="2"/>
  <c r="AI269" i="2"/>
  <c r="AH269" i="2"/>
  <c r="AH265" i="2"/>
  <c r="AG269" i="2"/>
  <c r="AF269" i="2"/>
  <c r="AE269" i="2"/>
  <c r="AD269" i="2"/>
  <c r="AC269" i="2"/>
  <c r="AB269" i="2"/>
  <c r="AA269" i="2"/>
  <c r="Z269" i="2"/>
  <c r="Y269" i="2"/>
  <c r="X269" i="2"/>
  <c r="W269" i="2"/>
  <c r="W265" i="2"/>
  <c r="V269" i="2"/>
  <c r="U269" i="2"/>
  <c r="T269" i="2"/>
  <c r="S269" i="2"/>
  <c r="R269" i="2"/>
  <c r="Q269" i="2"/>
  <c r="P269" i="2"/>
  <c r="O269" i="2"/>
  <c r="N269" i="2"/>
  <c r="M269" i="2"/>
  <c r="L269" i="2"/>
  <c r="K269" i="2"/>
  <c r="K265" i="2"/>
  <c r="J269" i="2"/>
  <c r="J265" i="2"/>
  <c r="I269" i="2"/>
  <c r="H269" i="2"/>
  <c r="G269" i="2"/>
  <c r="F269" i="2"/>
  <c r="E269" i="2"/>
  <c r="D269" i="2"/>
  <c r="C269" i="2"/>
  <c r="BH268" i="2"/>
  <c r="BG268" i="2"/>
  <c r="BF268" i="2"/>
  <c r="BE268" i="2"/>
  <c r="BE264" i="2"/>
  <c r="BD268" i="2"/>
  <c r="BC268" i="2"/>
  <c r="BA268" i="2"/>
  <c r="AY268" i="2"/>
  <c r="AX268" i="2"/>
  <c r="AW268" i="2"/>
  <c r="AV268" i="2"/>
  <c r="AU268" i="2"/>
  <c r="AT268" i="2"/>
  <c r="AS268" i="2"/>
  <c r="AR268" i="2"/>
  <c r="AQ268" i="2"/>
  <c r="AP268" i="2"/>
  <c r="AO268" i="2"/>
  <c r="AN268" i="2"/>
  <c r="AM268" i="2"/>
  <c r="AL268" i="2"/>
  <c r="AK268" i="2"/>
  <c r="AJ268" i="2"/>
  <c r="AI268" i="2"/>
  <c r="AH268" i="2"/>
  <c r="AG268" i="2"/>
  <c r="AF268" i="2"/>
  <c r="AE268" i="2"/>
  <c r="AD268" i="2"/>
  <c r="AD264" i="2"/>
  <c r="AC268" i="2"/>
  <c r="AB268" i="2"/>
  <c r="AA268" i="2"/>
  <c r="Z268" i="2"/>
  <c r="Y268" i="2"/>
  <c r="X268" i="2"/>
  <c r="W268" i="2"/>
  <c r="V268" i="2"/>
  <c r="U268" i="2"/>
  <c r="T268" i="2"/>
  <c r="S268" i="2"/>
  <c r="R268" i="2"/>
  <c r="R264" i="2"/>
  <c r="Q268" i="2"/>
  <c r="P268" i="2"/>
  <c r="O268" i="2"/>
  <c r="N268" i="2"/>
  <c r="M268" i="2"/>
  <c r="L268" i="2"/>
  <c r="K268" i="2"/>
  <c r="J268" i="2"/>
  <c r="I268" i="2"/>
  <c r="H268" i="2"/>
  <c r="G268" i="2"/>
  <c r="F268" i="2"/>
  <c r="E268" i="2"/>
  <c r="D268" i="2"/>
  <c r="C268" i="2"/>
  <c r="BH261" i="2"/>
  <c r="BH273" i="2"/>
  <c r="BG261" i="2"/>
  <c r="BF261" i="2"/>
  <c r="BE261" i="2"/>
  <c r="BE273" i="2"/>
  <c r="BD261" i="2"/>
  <c r="BD273" i="2"/>
  <c r="BC261" i="2"/>
  <c r="BC265" i="2"/>
  <c r="BC273" i="2"/>
  <c r="BB261" i="2"/>
  <c r="BB273" i="2"/>
  <c r="BA261" i="2"/>
  <c r="AZ261" i="2"/>
  <c r="AZ273" i="2"/>
  <c r="AY261" i="2"/>
  <c r="AX261" i="2"/>
  <c r="AW261" i="2"/>
  <c r="AV261" i="2"/>
  <c r="AV273" i="2"/>
  <c r="AU261" i="2"/>
  <c r="AT261" i="2"/>
  <c r="AT273" i="2"/>
  <c r="AS261" i="2"/>
  <c r="AS273" i="2"/>
  <c r="AR261" i="2"/>
  <c r="AR273" i="2"/>
  <c r="AQ261" i="2"/>
  <c r="AP261" i="2"/>
  <c r="AP273" i="2"/>
  <c r="AO261" i="2"/>
  <c r="AN261" i="2"/>
  <c r="AN273" i="2"/>
  <c r="AM261" i="2"/>
  <c r="AM273" i="2"/>
  <c r="AL261" i="2"/>
  <c r="AL273" i="2"/>
  <c r="AK261" i="2"/>
  <c r="AK273" i="2"/>
  <c r="AJ261" i="2"/>
  <c r="AI261" i="2"/>
  <c r="AH261" i="2"/>
  <c r="AH273" i="2"/>
  <c r="AG261" i="2"/>
  <c r="AG273" i="2"/>
  <c r="AF261" i="2"/>
  <c r="AF273" i="2"/>
  <c r="AE261" i="2"/>
  <c r="AE273" i="2"/>
  <c r="AD261" i="2"/>
  <c r="AD273" i="2"/>
  <c r="AC261" i="2"/>
  <c r="AC273" i="2"/>
  <c r="AB261" i="2"/>
  <c r="AB273" i="2"/>
  <c r="AA261" i="2"/>
  <c r="AA273" i="2"/>
  <c r="Z261" i="2"/>
  <c r="Z273" i="2"/>
  <c r="Y261" i="2"/>
  <c r="Y273" i="2"/>
  <c r="X261" i="2"/>
  <c r="X273" i="2"/>
  <c r="W261" i="2"/>
  <c r="W273" i="2"/>
  <c r="V261" i="2"/>
  <c r="V273" i="2"/>
  <c r="U261" i="2"/>
  <c r="U273" i="2"/>
  <c r="T261" i="2"/>
  <c r="T273" i="2"/>
  <c r="S261" i="2"/>
  <c r="S273" i="2"/>
  <c r="R261" i="2"/>
  <c r="R273" i="2"/>
  <c r="Q261" i="2"/>
  <c r="Q273" i="2"/>
  <c r="P261" i="2"/>
  <c r="P273" i="2"/>
  <c r="O261" i="2"/>
  <c r="O273" i="2"/>
  <c r="N261" i="2"/>
  <c r="N273" i="2"/>
  <c r="M261" i="2"/>
  <c r="M273" i="2"/>
  <c r="L261" i="2"/>
  <c r="L273" i="2"/>
  <c r="K261" i="2"/>
  <c r="J261" i="2"/>
  <c r="J273" i="2"/>
  <c r="I261" i="2"/>
  <c r="I273" i="2"/>
  <c r="H261" i="2"/>
  <c r="H273" i="2"/>
  <c r="G261" i="2"/>
  <c r="G273" i="2"/>
  <c r="F261" i="2"/>
  <c r="F273" i="2"/>
  <c r="E261" i="2"/>
  <c r="E273" i="2"/>
  <c r="D261" i="2"/>
  <c r="D273" i="2"/>
  <c r="C261" i="2"/>
  <c r="C273" i="2"/>
  <c r="BH260" i="2"/>
  <c r="BH264" i="2"/>
  <c r="BH272" i="2"/>
  <c r="BG260" i="2"/>
  <c r="BF260" i="2"/>
  <c r="BF272" i="2"/>
  <c r="BE260" i="2"/>
  <c r="BD260" i="2"/>
  <c r="BD272" i="2"/>
  <c r="BC260" i="2"/>
  <c r="BC272" i="2"/>
  <c r="AZ260" i="2"/>
  <c r="AZ272" i="2"/>
  <c r="AY260" i="2"/>
  <c r="AY272" i="2"/>
  <c r="AX260" i="2"/>
  <c r="AX272" i="2"/>
  <c r="AW260" i="2"/>
  <c r="AV260" i="2"/>
  <c r="AV272" i="2"/>
  <c r="AU260" i="2"/>
  <c r="AT260" i="2"/>
  <c r="AT272" i="2"/>
  <c r="AS260" i="2"/>
  <c r="AR260" i="2"/>
  <c r="AR272" i="2"/>
  <c r="AQ260" i="2"/>
  <c r="AQ272" i="2"/>
  <c r="AP260" i="2"/>
  <c r="AO260" i="2"/>
  <c r="AO272" i="2"/>
  <c r="AN260" i="2"/>
  <c r="AN272" i="2"/>
  <c r="AM260" i="2"/>
  <c r="AM272" i="2"/>
  <c r="AL260" i="2"/>
  <c r="AL272" i="2"/>
  <c r="AK260" i="2"/>
  <c r="AK272" i="2"/>
  <c r="AJ260" i="2"/>
  <c r="AJ272" i="2"/>
  <c r="AI260" i="2"/>
  <c r="AI272" i="2"/>
  <c r="AH260" i="2"/>
  <c r="AH272" i="2"/>
  <c r="AG260" i="2"/>
  <c r="AF260" i="2"/>
  <c r="AF272" i="2"/>
  <c r="AE260" i="2"/>
  <c r="AE272" i="2"/>
  <c r="AD260" i="2"/>
  <c r="AD272" i="2"/>
  <c r="AC260" i="2"/>
  <c r="AC272" i="2"/>
  <c r="AB260" i="2"/>
  <c r="AB272" i="2"/>
  <c r="AA260" i="2"/>
  <c r="AA272" i="2"/>
  <c r="Z260" i="2"/>
  <c r="Z272" i="2"/>
  <c r="Y260" i="2"/>
  <c r="X260" i="2"/>
  <c r="X272" i="2"/>
  <c r="W260" i="2"/>
  <c r="V260" i="2"/>
  <c r="V272" i="2"/>
  <c r="U260" i="2"/>
  <c r="T260" i="2"/>
  <c r="T272" i="2"/>
  <c r="S260" i="2"/>
  <c r="S272" i="2"/>
  <c r="R260" i="2"/>
  <c r="R272" i="2"/>
  <c r="Q260" i="2"/>
  <c r="P260" i="2"/>
  <c r="P272" i="2"/>
  <c r="O260" i="2"/>
  <c r="O272" i="2"/>
  <c r="N260" i="2"/>
  <c r="N272" i="2"/>
  <c r="M260" i="2"/>
  <c r="M272" i="2"/>
  <c r="L260" i="2"/>
  <c r="L272" i="2"/>
  <c r="K260" i="2"/>
  <c r="K272" i="2"/>
  <c r="J260" i="2"/>
  <c r="J272" i="2"/>
  <c r="I260" i="2"/>
  <c r="H260" i="2"/>
  <c r="H272" i="2"/>
  <c r="G260" i="2"/>
  <c r="G272" i="2"/>
  <c r="F260" i="2"/>
  <c r="F272" i="2"/>
  <c r="E260" i="2"/>
  <c r="E272" i="2"/>
  <c r="D260" i="2"/>
  <c r="C260" i="2"/>
  <c r="C272" i="2"/>
  <c r="BH258" i="2"/>
  <c r="BG258" i="2"/>
  <c r="BF258" i="2"/>
  <c r="BE258" i="2"/>
  <c r="BD258" i="2"/>
  <c r="BC258" i="2"/>
  <c r="BB258" i="2"/>
  <c r="BA258" i="2"/>
  <c r="AZ258" i="2"/>
  <c r="AY258" i="2"/>
  <c r="AX258" i="2"/>
  <c r="AW258" i="2"/>
  <c r="AV258" i="2"/>
  <c r="AU258" i="2"/>
  <c r="AT258" i="2"/>
  <c r="AS258" i="2"/>
  <c r="AR258" i="2"/>
  <c r="AQ258" i="2"/>
  <c r="AP258" i="2"/>
  <c r="AO258" i="2"/>
  <c r="AN258" i="2"/>
  <c r="AM258" i="2"/>
  <c r="AL258" i="2"/>
  <c r="AK258" i="2"/>
  <c r="AJ258" i="2"/>
  <c r="AI258" i="2"/>
  <c r="AH258" i="2"/>
  <c r="AG258" i="2"/>
  <c r="AF258" i="2"/>
  <c r="AE258" i="2"/>
  <c r="AD258" i="2"/>
  <c r="AC258" i="2"/>
  <c r="AB258" i="2"/>
  <c r="AA258" i="2"/>
  <c r="Z258" i="2"/>
  <c r="Y258" i="2"/>
  <c r="X258" i="2"/>
  <c r="W258" i="2"/>
  <c r="V258" i="2"/>
  <c r="U258" i="2"/>
  <c r="T258" i="2"/>
  <c r="S258" i="2"/>
  <c r="R258" i="2"/>
  <c r="Q258" i="2"/>
  <c r="P258" i="2"/>
  <c r="O258" i="2"/>
  <c r="N258" i="2"/>
  <c r="M258" i="2"/>
  <c r="L258" i="2"/>
  <c r="K258" i="2"/>
  <c r="J258" i="2"/>
  <c r="I258" i="2"/>
  <c r="H258" i="2"/>
  <c r="G258" i="2"/>
  <c r="F258" i="2"/>
  <c r="E258" i="2"/>
  <c r="D258" i="2"/>
  <c r="C258" i="2"/>
  <c r="BH257" i="2"/>
  <c r="BG257" i="2"/>
  <c r="BF257" i="2"/>
  <c r="BE257" i="2"/>
  <c r="BD257" i="2"/>
  <c r="BC257" i="2"/>
  <c r="BB257" i="2"/>
  <c r="BA257" i="2"/>
  <c r="AY257" i="2"/>
  <c r="AX257" i="2"/>
  <c r="AW257" i="2"/>
  <c r="AT257" i="2"/>
  <c r="AS257" i="2"/>
  <c r="AR257" i="2"/>
  <c r="AQ257" i="2"/>
  <c r="AO257" i="2"/>
  <c r="AN257" i="2"/>
  <c r="AM257" i="2"/>
  <c r="AF257" i="2"/>
  <c r="AE257" i="2"/>
  <c r="AD257" i="2"/>
  <c r="AC257" i="2"/>
  <c r="Z257" i="2"/>
  <c r="Y257" i="2"/>
  <c r="X257" i="2"/>
  <c r="W257" i="2"/>
  <c r="V257" i="2"/>
  <c r="U257" i="2"/>
  <c r="T257" i="2"/>
  <c r="S257" i="2"/>
  <c r="R257" i="2"/>
  <c r="Q257" i="2"/>
  <c r="P257" i="2"/>
  <c r="O257" i="2"/>
  <c r="N257" i="2"/>
  <c r="M257" i="2"/>
  <c r="L257" i="2"/>
  <c r="K257" i="2"/>
  <c r="J257" i="2"/>
  <c r="I257" i="2"/>
  <c r="H257" i="2"/>
  <c r="G257" i="2"/>
  <c r="F257" i="2"/>
  <c r="E257" i="2"/>
  <c r="D257" i="2"/>
  <c r="C257" i="2"/>
  <c r="BA200" i="2"/>
  <c r="BH186" i="2"/>
  <c r="BH187" i="2"/>
  <c r="BD186" i="2"/>
  <c r="AZ186" i="2"/>
  <c r="BD185" i="2"/>
  <c r="BH184" i="2"/>
  <c r="BG184" i="2"/>
  <c r="BF184" i="2"/>
  <c r="BD184" i="2"/>
  <c r="BD183" i="2"/>
  <c r="BH182" i="2"/>
  <c r="BG182" i="2"/>
  <c r="BF182" i="2"/>
  <c r="BF187" i="2"/>
  <c r="BE182" i="2"/>
  <c r="BE187" i="2"/>
  <c r="BC182" i="2"/>
  <c r="BC187" i="2"/>
  <c r="BB182" i="2"/>
  <c r="BB187" i="2"/>
  <c r="BA182" i="2"/>
  <c r="BA187" i="2"/>
  <c r="AZ182" i="2"/>
  <c r="BD181" i="2"/>
  <c r="BD180" i="2"/>
  <c r="BD182" i="2"/>
  <c r="BD187" i="2"/>
  <c r="BH177" i="2"/>
  <c r="BG177" i="2"/>
  <c r="BF177" i="2"/>
  <c r="BE177" i="2"/>
  <c r="BD177" i="2"/>
  <c r="BC177" i="2"/>
  <c r="BB177" i="2"/>
  <c r="BA177" i="2"/>
  <c r="AZ177" i="2"/>
  <c r="BH168" i="2"/>
  <c r="BH190" i="2"/>
  <c r="BG168" i="2"/>
  <c r="BG270" i="2"/>
  <c r="BG190" i="2"/>
  <c r="BF168" i="2"/>
  <c r="BE168" i="2"/>
  <c r="BE190" i="2"/>
  <c r="BD168" i="2"/>
  <c r="BC168" i="2"/>
  <c r="BC190" i="2"/>
  <c r="BA168" i="2"/>
  <c r="BA190" i="2"/>
  <c r="BB166" i="2"/>
  <c r="BB268" i="2"/>
  <c r="AZ166" i="2"/>
  <c r="AZ168" i="2"/>
  <c r="AZ164" i="2"/>
  <c r="BH163" i="2"/>
  <c r="BG163" i="2"/>
  <c r="BF163" i="2"/>
  <c r="BE163" i="2"/>
  <c r="BD163" i="2"/>
  <c r="BC163" i="2"/>
  <c r="BB163" i="2"/>
  <c r="BA163" i="2"/>
  <c r="AZ163" i="2"/>
  <c r="BH162" i="2"/>
  <c r="BG162" i="2"/>
  <c r="BF162" i="2"/>
  <c r="BE162" i="2"/>
  <c r="BD162" i="2"/>
  <c r="BC162" i="2"/>
  <c r="BH160" i="2"/>
  <c r="BH172" i="2"/>
  <c r="BG160" i="2"/>
  <c r="BG172" i="2"/>
  <c r="BF160" i="2"/>
  <c r="BE160" i="2"/>
  <c r="BE172" i="2"/>
  <c r="BD160" i="2"/>
  <c r="BD172" i="2"/>
  <c r="BC160" i="2"/>
  <c r="BC172" i="2"/>
  <c r="AZ160" i="2"/>
  <c r="AZ172" i="2"/>
  <c r="BB158" i="2"/>
  <c r="BB160" i="2"/>
  <c r="BA158" i="2"/>
  <c r="AS150" i="2"/>
  <c r="AQ150" i="2"/>
  <c r="AM150" i="2"/>
  <c r="BA149" i="2"/>
  <c r="AY149" i="2"/>
  <c r="AX149" i="2"/>
  <c r="AW149" i="2"/>
  <c r="AV149" i="2"/>
  <c r="AU149" i="2"/>
  <c r="AS149" i="2"/>
  <c r="AQ149" i="2"/>
  <c r="AM149" i="2"/>
  <c r="BH135" i="2"/>
  <c r="BG135" i="2"/>
  <c r="BF135" i="2"/>
  <c r="BE135" i="2"/>
  <c r="BE136" i="2"/>
  <c r="BD135" i="2"/>
  <c r="BB135" i="2"/>
  <c r="BA135" i="2"/>
  <c r="AY135" i="2"/>
  <c r="AZ135" i="2"/>
  <c r="AX135" i="2"/>
  <c r="AW135" i="2"/>
  <c r="AT135" i="2"/>
  <c r="AS135" i="2"/>
  <c r="AR135" i="2"/>
  <c r="AQ135" i="2"/>
  <c r="AP135" i="2"/>
  <c r="AO135" i="2"/>
  <c r="AN135" i="2"/>
  <c r="AM135" i="2"/>
  <c r="AL135" i="2"/>
  <c r="AK135" i="2"/>
  <c r="AJ135" i="2"/>
  <c r="AI135" i="2"/>
  <c r="AH135" i="2"/>
  <c r="BD134" i="2"/>
  <c r="AZ134" i="2"/>
  <c r="BH133" i="2"/>
  <c r="BG133" i="2"/>
  <c r="BG136" i="2"/>
  <c r="BF133" i="2"/>
  <c r="BD133" i="2"/>
  <c r="AT133" i="2"/>
  <c r="AS133" i="2"/>
  <c r="AR133" i="2"/>
  <c r="AQ133" i="2"/>
  <c r="AP133" i="2"/>
  <c r="AO133" i="2"/>
  <c r="AN133" i="2"/>
  <c r="AM133" i="2"/>
  <c r="AL133" i="2"/>
  <c r="AK133" i="2"/>
  <c r="AK136" i="2"/>
  <c r="AJ133" i="2"/>
  <c r="AI133" i="2"/>
  <c r="AH133" i="2"/>
  <c r="AG133" i="2"/>
  <c r="AF133" i="2"/>
  <c r="AE133" i="2"/>
  <c r="AD133" i="2"/>
  <c r="AC133" i="2"/>
  <c r="AB133" i="2"/>
  <c r="AA133" i="2"/>
  <c r="Z133" i="2"/>
  <c r="Y133" i="2"/>
  <c r="X133" i="2"/>
  <c r="W133" i="2"/>
  <c r="V133" i="2"/>
  <c r="U133" i="2"/>
  <c r="T133" i="2"/>
  <c r="S133" i="2"/>
  <c r="R133" i="2"/>
  <c r="Q133" i="2"/>
  <c r="P133" i="2"/>
  <c r="L133" i="2"/>
  <c r="J133" i="2"/>
  <c r="H133" i="2"/>
  <c r="BD132" i="2"/>
  <c r="AZ132" i="2"/>
  <c r="BH131" i="2"/>
  <c r="BG131" i="2"/>
  <c r="BF131" i="2"/>
  <c r="BE131" i="2"/>
  <c r="BC131" i="2"/>
  <c r="BC136" i="2"/>
  <c r="BB131" i="2"/>
  <c r="BB136" i="2"/>
  <c r="BA131" i="2"/>
  <c r="AY131" i="2"/>
  <c r="AY136" i="2"/>
  <c r="AX131" i="2"/>
  <c r="AW131" i="2"/>
  <c r="AV131" i="2"/>
  <c r="AV136" i="2"/>
  <c r="AU131" i="2"/>
  <c r="AU136" i="2"/>
  <c r="AT131" i="2"/>
  <c r="AS131" i="2"/>
  <c r="AR131" i="2"/>
  <c r="AQ131" i="2"/>
  <c r="AP131" i="2"/>
  <c r="AP136" i="2"/>
  <c r="AO131" i="2"/>
  <c r="AN131" i="2"/>
  <c r="AM131" i="2"/>
  <c r="AL131" i="2"/>
  <c r="AK131" i="2"/>
  <c r="AJ131" i="2"/>
  <c r="AI131" i="2"/>
  <c r="AH131" i="2"/>
  <c r="AG131" i="2"/>
  <c r="AG136" i="2"/>
  <c r="AF131" i="2"/>
  <c r="AF136" i="2"/>
  <c r="AE131" i="2"/>
  <c r="AE136" i="2"/>
  <c r="AD131" i="2"/>
  <c r="AD136" i="2"/>
  <c r="AC131" i="2"/>
  <c r="AC136" i="2"/>
  <c r="AB131" i="2"/>
  <c r="AB136" i="2"/>
  <c r="AA131" i="2"/>
  <c r="AA136" i="2"/>
  <c r="Z131" i="2"/>
  <c r="Z136" i="2"/>
  <c r="Y131" i="2"/>
  <c r="Y136" i="2"/>
  <c r="X131" i="2"/>
  <c r="X136" i="2"/>
  <c r="W131" i="2"/>
  <c r="V131" i="2"/>
  <c r="U131" i="2"/>
  <c r="U136" i="2"/>
  <c r="T131" i="2"/>
  <c r="S131" i="2"/>
  <c r="R131" i="2"/>
  <c r="Q131" i="2"/>
  <c r="P131" i="2"/>
  <c r="P136" i="2"/>
  <c r="O131" i="2"/>
  <c r="O136" i="2"/>
  <c r="N131" i="2"/>
  <c r="N136" i="2"/>
  <c r="M131" i="2"/>
  <c r="M136" i="2"/>
  <c r="L131" i="2"/>
  <c r="K131" i="2"/>
  <c r="K136" i="2"/>
  <c r="J131" i="2"/>
  <c r="I131" i="2"/>
  <c r="I136" i="2"/>
  <c r="H131" i="2"/>
  <c r="G131" i="2"/>
  <c r="G136" i="2"/>
  <c r="F131" i="2"/>
  <c r="F136" i="2"/>
  <c r="E131" i="2"/>
  <c r="E136" i="2"/>
  <c r="D131" i="2"/>
  <c r="D136" i="2"/>
  <c r="C131" i="2"/>
  <c r="C136" i="2"/>
  <c r="BD130" i="2"/>
  <c r="AZ130" i="2"/>
  <c r="BD129" i="2"/>
  <c r="AZ129" i="2"/>
  <c r="BH126" i="2"/>
  <c r="BG126" i="2"/>
  <c r="BF126" i="2"/>
  <c r="BE126" i="2"/>
  <c r="BD126" i="2"/>
  <c r="BC126" i="2"/>
  <c r="BB126" i="2"/>
  <c r="BA126" i="2"/>
  <c r="AZ126" i="2"/>
  <c r="AY126" i="2"/>
  <c r="AX126" i="2"/>
  <c r="AW126" i="2"/>
  <c r="AV126" i="2"/>
  <c r="AU126" i="2"/>
  <c r="AT126" i="2"/>
  <c r="AS126" i="2"/>
  <c r="AR126" i="2"/>
  <c r="AQ126" i="2"/>
  <c r="AP126" i="2"/>
  <c r="AO126" i="2"/>
  <c r="AN126" i="2"/>
  <c r="AM126" i="2"/>
  <c r="AL126" i="2"/>
  <c r="AL145" i="2"/>
  <c r="AJ124" i="2"/>
  <c r="AJ123" i="2"/>
  <c r="AJ126" i="2"/>
  <c r="AF124" i="2"/>
  <c r="AB124" i="2"/>
  <c r="AB123" i="2"/>
  <c r="AB126" i="2"/>
  <c r="AB145" i="2"/>
  <c r="AK123" i="2"/>
  <c r="AI123" i="2"/>
  <c r="AI126" i="2"/>
  <c r="AI145" i="2"/>
  <c r="AI146" i="2"/>
  <c r="AH123" i="2"/>
  <c r="AH126" i="2"/>
  <c r="AH145" i="2"/>
  <c r="AG123" i="2"/>
  <c r="AG126" i="2"/>
  <c r="AE123" i="2"/>
  <c r="AE126" i="2"/>
  <c r="AE145" i="2"/>
  <c r="AD123" i="2"/>
  <c r="AD126" i="2"/>
  <c r="AC123" i="2"/>
  <c r="AC126" i="2"/>
  <c r="AA123" i="2"/>
  <c r="AA126" i="2"/>
  <c r="AA145" i="2"/>
  <c r="AA146" i="2"/>
  <c r="Z123" i="2"/>
  <c r="Z126" i="2"/>
  <c r="Y123" i="2"/>
  <c r="X123" i="2"/>
  <c r="X126" i="2"/>
  <c r="W123" i="2"/>
  <c r="V123" i="2"/>
  <c r="U123" i="2"/>
  <c r="U126" i="2"/>
  <c r="BH117" i="2"/>
  <c r="BH139" i="2"/>
  <c r="BG117" i="2"/>
  <c r="BG139" i="2"/>
  <c r="BF117" i="2"/>
  <c r="BF139" i="2"/>
  <c r="BE117" i="2"/>
  <c r="BD117" i="2"/>
  <c r="BC117" i="2"/>
  <c r="BC139" i="2"/>
  <c r="BB117" i="2"/>
  <c r="BA117" i="2"/>
  <c r="BA270" i="2"/>
  <c r="BA139" i="2"/>
  <c r="AZ117" i="2"/>
  <c r="AY117" i="2"/>
  <c r="AX117" i="2"/>
  <c r="AW117" i="2"/>
  <c r="AW139" i="2"/>
  <c r="AV117" i="2"/>
  <c r="AU117" i="2"/>
  <c r="AU145" i="2"/>
  <c r="AT117" i="2"/>
  <c r="AT145" i="2"/>
  <c r="AS117" i="2"/>
  <c r="AS139" i="2"/>
  <c r="AS140" i="2"/>
  <c r="AR117" i="2"/>
  <c r="AR139" i="2"/>
  <c r="AQ117" i="2"/>
  <c r="AP117" i="2"/>
  <c r="AO117" i="2"/>
  <c r="AN117" i="2"/>
  <c r="AN139" i="2"/>
  <c r="AM117" i="2"/>
  <c r="AL117" i="2"/>
  <c r="AK117" i="2"/>
  <c r="AJ117" i="2"/>
  <c r="AJ139" i="2"/>
  <c r="AI117" i="2"/>
  <c r="AH117" i="2"/>
  <c r="AH139" i="2"/>
  <c r="AG117" i="2"/>
  <c r="AF117" i="2"/>
  <c r="AF139" i="2"/>
  <c r="AE117" i="2"/>
  <c r="AE139" i="2"/>
  <c r="AD117" i="2"/>
  <c r="AD139" i="2"/>
  <c r="AC117" i="2"/>
  <c r="AC139" i="2"/>
  <c r="AB117" i="2"/>
  <c r="AB139" i="2"/>
  <c r="AA117" i="2"/>
  <c r="Z117" i="2"/>
  <c r="Y117" i="2"/>
  <c r="X117" i="2"/>
  <c r="X139" i="2"/>
  <c r="W117" i="2"/>
  <c r="W139" i="2"/>
  <c r="V117" i="2"/>
  <c r="V139" i="2"/>
  <c r="U117" i="2"/>
  <c r="U139" i="2"/>
  <c r="T117" i="2"/>
  <c r="T145" i="2"/>
  <c r="S117" i="2"/>
  <c r="S139" i="2"/>
  <c r="R117" i="2"/>
  <c r="R139" i="2"/>
  <c r="Q117" i="2"/>
  <c r="P117" i="2"/>
  <c r="O117" i="2"/>
  <c r="N117" i="2"/>
  <c r="M117" i="2"/>
  <c r="M139" i="2"/>
  <c r="L117" i="2"/>
  <c r="L139" i="2"/>
  <c r="K117" i="2"/>
  <c r="J117" i="2"/>
  <c r="I117" i="2"/>
  <c r="H117" i="2"/>
  <c r="H145" i="2"/>
  <c r="G117" i="2"/>
  <c r="G145" i="2"/>
  <c r="F117" i="2"/>
  <c r="F139" i="2"/>
  <c r="E117" i="2"/>
  <c r="E139" i="2"/>
  <c r="D117" i="2"/>
  <c r="C117" i="2"/>
  <c r="BH112" i="2"/>
  <c r="BG112" i="2"/>
  <c r="BF112" i="2"/>
  <c r="BE112" i="2"/>
  <c r="BD112" i="2"/>
  <c r="BC112" i="2"/>
  <c r="BB112" i="2"/>
  <c r="BA112" i="2"/>
  <c r="AZ112" i="2"/>
  <c r="AY112" i="2"/>
  <c r="AX112" i="2"/>
  <c r="AW112" i="2"/>
  <c r="AV112" i="2"/>
  <c r="AU112" i="2"/>
  <c r="AT112" i="2"/>
  <c r="AS112" i="2"/>
  <c r="AR112" i="2"/>
  <c r="AQ112" i="2"/>
  <c r="AP112" i="2"/>
  <c r="AO112" i="2"/>
  <c r="AN112" i="2"/>
  <c r="AM112" i="2"/>
  <c r="AL112" i="2"/>
  <c r="AK112" i="2"/>
  <c r="AJ112" i="2"/>
  <c r="AI112" i="2"/>
  <c r="AH112" i="2"/>
  <c r="AG112" i="2"/>
  <c r="O112" i="2"/>
  <c r="N112" i="2"/>
  <c r="M112" i="2"/>
  <c r="L112" i="2"/>
  <c r="K112" i="2"/>
  <c r="J112" i="2"/>
  <c r="I112" i="2"/>
  <c r="H112" i="2"/>
  <c r="G112" i="2"/>
  <c r="F112" i="2"/>
  <c r="E112" i="2"/>
  <c r="D112" i="2"/>
  <c r="C112" i="2"/>
  <c r="BH111" i="2"/>
  <c r="BG111" i="2"/>
  <c r="BF111" i="2"/>
  <c r="BE111" i="2"/>
  <c r="BD111" i="2"/>
  <c r="BC111" i="2"/>
  <c r="BB111" i="2"/>
  <c r="BA111" i="2"/>
  <c r="AZ111" i="2"/>
  <c r="AY111" i="2"/>
  <c r="AX111" i="2"/>
  <c r="AW111" i="2"/>
  <c r="AV111" i="2"/>
  <c r="AU111" i="2"/>
  <c r="AT111" i="2"/>
  <c r="AS111" i="2"/>
  <c r="AR111" i="2"/>
  <c r="AQ111" i="2"/>
  <c r="AP111" i="2"/>
  <c r="AO111" i="2"/>
  <c r="AN111" i="2"/>
  <c r="AM111" i="2"/>
  <c r="AL111" i="2"/>
  <c r="AK111" i="2"/>
  <c r="AJ111" i="2"/>
  <c r="AI111" i="2"/>
  <c r="AH111" i="2"/>
  <c r="AG111" i="2"/>
  <c r="AF111" i="2"/>
  <c r="AE111" i="2"/>
  <c r="AD111" i="2"/>
  <c r="AC111" i="2"/>
  <c r="AB111" i="2"/>
  <c r="AA111" i="2"/>
  <c r="Z111" i="2"/>
  <c r="Y111" i="2"/>
  <c r="X111" i="2"/>
  <c r="W111" i="2"/>
  <c r="V111" i="2"/>
  <c r="U111" i="2"/>
  <c r="T111" i="2"/>
  <c r="S111" i="2"/>
  <c r="R111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E111" i="2"/>
  <c r="D111" i="2"/>
  <c r="C111" i="2"/>
  <c r="BH109" i="2"/>
  <c r="BH121" i="2"/>
  <c r="BG109" i="2"/>
  <c r="BG121" i="2"/>
  <c r="BF109" i="2"/>
  <c r="BF121" i="2"/>
  <c r="BE109" i="2"/>
  <c r="BE121" i="2"/>
  <c r="BD109" i="2"/>
  <c r="BD121" i="2"/>
  <c r="BC109" i="2"/>
  <c r="BC121" i="2"/>
  <c r="BB109" i="2"/>
  <c r="BA109" i="2"/>
  <c r="BA121" i="2"/>
  <c r="AZ109" i="2"/>
  <c r="AY109" i="2"/>
  <c r="AX109" i="2"/>
  <c r="AX113" i="2"/>
  <c r="AW109" i="2"/>
  <c r="AW121" i="2"/>
  <c r="AV109" i="2"/>
  <c r="AU109" i="2"/>
  <c r="AU121" i="2"/>
  <c r="AT109" i="2"/>
  <c r="AS109" i="2"/>
  <c r="AS121" i="2"/>
  <c r="AR109" i="2"/>
  <c r="AR121" i="2"/>
  <c r="AQ109" i="2"/>
  <c r="AQ121" i="2"/>
  <c r="AP109" i="2"/>
  <c r="AO109" i="2"/>
  <c r="AO121" i="2"/>
  <c r="AN109" i="2"/>
  <c r="AM109" i="2"/>
  <c r="AL109" i="2"/>
  <c r="AL121" i="2"/>
  <c r="AK109" i="2"/>
  <c r="AK121" i="2"/>
  <c r="AJ109" i="2"/>
  <c r="AI109" i="2"/>
  <c r="AI121" i="2"/>
  <c r="AH109" i="2"/>
  <c r="AG109" i="2"/>
  <c r="AF109" i="2"/>
  <c r="AE109" i="2"/>
  <c r="AE121" i="2"/>
  <c r="AD109" i="2"/>
  <c r="AD121" i="2"/>
  <c r="AC109" i="2"/>
  <c r="AC121" i="2"/>
  <c r="AC274" i="2"/>
  <c r="AB109" i="2"/>
  <c r="AA109" i="2"/>
  <c r="Z109" i="2"/>
  <c r="Z121" i="2"/>
  <c r="Y109" i="2"/>
  <c r="Y121" i="2"/>
  <c r="X109" i="2"/>
  <c r="W109" i="2"/>
  <c r="W121" i="2"/>
  <c r="V109" i="2"/>
  <c r="U109" i="2"/>
  <c r="U121" i="2"/>
  <c r="T109" i="2"/>
  <c r="S109" i="2"/>
  <c r="S121" i="2"/>
  <c r="R109" i="2"/>
  <c r="R121" i="2"/>
  <c r="Q109" i="2"/>
  <c r="P109" i="2"/>
  <c r="O109" i="2"/>
  <c r="N109" i="2"/>
  <c r="N113" i="2"/>
  <c r="M109" i="2"/>
  <c r="M121" i="2"/>
  <c r="L109" i="2"/>
  <c r="K109" i="2"/>
  <c r="K121" i="2"/>
  <c r="J109" i="2"/>
  <c r="I109" i="2"/>
  <c r="I121" i="2"/>
  <c r="H109" i="2"/>
  <c r="H121" i="2"/>
  <c r="G109" i="2"/>
  <c r="F109" i="2"/>
  <c r="F121" i="2"/>
  <c r="E109" i="2"/>
  <c r="E121" i="2"/>
  <c r="D109" i="2"/>
  <c r="C109" i="2"/>
  <c r="AZ104" i="2"/>
  <c r="AZ257" i="2"/>
  <c r="AL104" i="2"/>
  <c r="AL257" i="2"/>
  <c r="AK104" i="2"/>
  <c r="AK257" i="2"/>
  <c r="AJ104" i="2"/>
  <c r="AI104" i="2"/>
  <c r="AI257" i="2"/>
  <c r="AH104" i="2"/>
  <c r="AG104" i="2"/>
  <c r="AG257" i="2"/>
  <c r="AB104" i="2"/>
  <c r="AA104" i="2"/>
  <c r="BH100" i="2"/>
  <c r="BH99" i="2"/>
  <c r="BG100" i="2"/>
  <c r="BG97" i="2"/>
  <c r="BF100" i="2"/>
  <c r="BF99" i="2"/>
  <c r="BE100" i="2"/>
  <c r="BE151" i="2"/>
  <c r="BE148" i="2"/>
  <c r="BD100" i="2"/>
  <c r="BD151" i="2"/>
  <c r="BD144" i="2"/>
  <c r="BC100" i="2"/>
  <c r="BC151" i="2"/>
  <c r="BC150" i="2"/>
  <c r="BB100" i="2"/>
  <c r="BA100" i="2"/>
  <c r="BA151" i="2"/>
  <c r="AZ100" i="2"/>
  <c r="AZ151" i="2"/>
  <c r="AZ144" i="2"/>
  <c r="AY100" i="2"/>
  <c r="AX100" i="2"/>
  <c r="AX151" i="2"/>
  <c r="AW100" i="2"/>
  <c r="AW151" i="2"/>
  <c r="AW144" i="2"/>
  <c r="AV100" i="2"/>
  <c r="AV151" i="2"/>
  <c r="AV150" i="2"/>
  <c r="AU100" i="2"/>
  <c r="AU151" i="2"/>
  <c r="AT100" i="2"/>
  <c r="AS100" i="2"/>
  <c r="AS151" i="2"/>
  <c r="AS144" i="2"/>
  <c r="AR100" i="2"/>
  <c r="AQ100" i="2"/>
  <c r="AQ151" i="2"/>
  <c r="AQ144" i="2"/>
  <c r="AP100" i="2"/>
  <c r="AO100" i="2"/>
  <c r="AO151" i="2"/>
  <c r="AO144" i="2"/>
  <c r="AN100" i="2"/>
  <c r="AM100" i="2"/>
  <c r="AM151" i="2"/>
  <c r="AL100" i="2"/>
  <c r="AL93" i="2"/>
  <c r="AK100" i="2"/>
  <c r="AK93" i="2"/>
  <c r="AJ100" i="2"/>
  <c r="AI100" i="2"/>
  <c r="AI151" i="2"/>
  <c r="AI144" i="2"/>
  <c r="AH100" i="2"/>
  <c r="AH151" i="2"/>
  <c r="AH144" i="2"/>
  <c r="AG100" i="2"/>
  <c r="AG151" i="2"/>
  <c r="AF100" i="2"/>
  <c r="AF151" i="2"/>
  <c r="AF144" i="2"/>
  <c r="AE100" i="2"/>
  <c r="AE93" i="2"/>
  <c r="AD100" i="2"/>
  <c r="AD151" i="2"/>
  <c r="AD140" i="2"/>
  <c r="AC100" i="2"/>
  <c r="AC151" i="2"/>
  <c r="AC144" i="2"/>
  <c r="AB100" i="2"/>
  <c r="AA100" i="2"/>
  <c r="AA151" i="2"/>
  <c r="AA144" i="2"/>
  <c r="Z100" i="2"/>
  <c r="Z151" i="2"/>
  <c r="Z144" i="2"/>
  <c r="Y100" i="2"/>
  <c r="Y93" i="2"/>
  <c r="X100" i="2"/>
  <c r="W100" i="2"/>
  <c r="W151" i="2"/>
  <c r="V100" i="2"/>
  <c r="V151" i="2"/>
  <c r="V144" i="2"/>
  <c r="U100" i="2"/>
  <c r="T100" i="2"/>
  <c r="T151" i="2"/>
  <c r="S100" i="2"/>
  <c r="S151" i="2"/>
  <c r="R100" i="2"/>
  <c r="R151" i="2"/>
  <c r="R144" i="2"/>
  <c r="Q100" i="2"/>
  <c r="Q151" i="2"/>
  <c r="Q144" i="2"/>
  <c r="P100" i="2"/>
  <c r="O100" i="2"/>
  <c r="N100" i="2"/>
  <c r="M100" i="2"/>
  <c r="M151" i="2"/>
  <c r="M144" i="2"/>
  <c r="L100" i="2"/>
  <c r="L151" i="2"/>
  <c r="L144" i="2"/>
  <c r="K100" i="2"/>
  <c r="K151" i="2"/>
  <c r="K144" i="2"/>
  <c r="J100" i="2"/>
  <c r="I100" i="2"/>
  <c r="H100" i="2"/>
  <c r="G100" i="2"/>
  <c r="G151" i="2"/>
  <c r="F100" i="2"/>
  <c r="F93" i="2"/>
  <c r="E100" i="2"/>
  <c r="E151" i="2"/>
  <c r="E144" i="2"/>
  <c r="D100" i="2"/>
  <c r="C100" i="2"/>
  <c r="AS99" i="2"/>
  <c r="AQ99" i="2"/>
  <c r="AM99" i="2"/>
  <c r="BC98" i="2"/>
  <c r="BC99" i="2"/>
  <c r="BB98" i="2"/>
  <c r="BA98" i="2"/>
  <c r="AY98" i="2"/>
  <c r="AX98" i="2"/>
  <c r="AW98" i="2"/>
  <c r="AV98" i="2"/>
  <c r="AU98" i="2"/>
  <c r="AS98" i="2"/>
  <c r="AQ98" i="2"/>
  <c r="AM98" i="2"/>
  <c r="V93" i="2"/>
  <c r="E88" i="2"/>
  <c r="D88" i="2"/>
  <c r="BH84" i="2"/>
  <c r="BG84" i="2"/>
  <c r="BF84" i="2"/>
  <c r="BD84" i="2"/>
  <c r="BB84" i="2"/>
  <c r="BA84" i="2"/>
  <c r="AY84" i="2"/>
  <c r="AZ84" i="2"/>
  <c r="AZ85" i="2"/>
  <c r="AX84" i="2"/>
  <c r="AX85" i="2"/>
  <c r="AW84" i="2"/>
  <c r="AV84" i="2"/>
  <c r="AU84" i="2"/>
  <c r="AT84" i="2"/>
  <c r="AS84" i="2"/>
  <c r="AR84" i="2"/>
  <c r="AQ84" i="2"/>
  <c r="AP84" i="2"/>
  <c r="AO84" i="2"/>
  <c r="AN84" i="2"/>
  <c r="AM84" i="2"/>
  <c r="AL84" i="2"/>
  <c r="AK84" i="2"/>
  <c r="AK85" i="2"/>
  <c r="AJ84" i="2"/>
  <c r="AI84" i="2"/>
  <c r="AI85" i="2"/>
  <c r="AH84" i="2"/>
  <c r="AG84" i="2"/>
  <c r="BD83" i="2"/>
  <c r="AZ83" i="2"/>
  <c r="AV83" i="2"/>
  <c r="BH82" i="2"/>
  <c r="BG82" i="2"/>
  <c r="BF82" i="2"/>
  <c r="BD82" i="2"/>
  <c r="AT82" i="2"/>
  <c r="AS82" i="2"/>
  <c r="AR82" i="2"/>
  <c r="AR85" i="2"/>
  <c r="AQ82" i="2"/>
  <c r="AP82" i="2"/>
  <c r="AO82" i="2"/>
  <c r="AN82" i="2"/>
  <c r="AM82" i="2"/>
  <c r="AL82" i="2"/>
  <c r="AK82" i="2"/>
  <c r="AJ82" i="2"/>
  <c r="AI82" i="2"/>
  <c r="AH82" i="2"/>
  <c r="AH85" i="2"/>
  <c r="AG82" i="2"/>
  <c r="AF82" i="2"/>
  <c r="AF85" i="2"/>
  <c r="AE82" i="2"/>
  <c r="AD82" i="2"/>
  <c r="AC82" i="2"/>
  <c r="AB82" i="2"/>
  <c r="Z82" i="2"/>
  <c r="Y82" i="2"/>
  <c r="X82" i="2"/>
  <c r="W82" i="2"/>
  <c r="T82" i="2"/>
  <c r="S82" i="2"/>
  <c r="P82" i="2"/>
  <c r="K82" i="2"/>
  <c r="K85" i="2"/>
  <c r="J82" i="2"/>
  <c r="H82" i="2"/>
  <c r="BD81" i="2"/>
  <c r="AZ81" i="2"/>
  <c r="BH80" i="2"/>
  <c r="BG80" i="2"/>
  <c r="BF80" i="2"/>
  <c r="BE80" i="2"/>
  <c r="BE85" i="2"/>
  <c r="BC80" i="2"/>
  <c r="BC85" i="2"/>
  <c r="BB80" i="2"/>
  <c r="BA80" i="2"/>
  <c r="AY80" i="2"/>
  <c r="AX80" i="2"/>
  <c r="AW80" i="2"/>
  <c r="AV80" i="2"/>
  <c r="AU80" i="2"/>
  <c r="AT80" i="2"/>
  <c r="AS80" i="2"/>
  <c r="AR80" i="2"/>
  <c r="AQ80" i="2"/>
  <c r="AQ85" i="2"/>
  <c r="AP80" i="2"/>
  <c r="AO80" i="2"/>
  <c r="AN80" i="2"/>
  <c r="AM80" i="2"/>
  <c r="AL80" i="2"/>
  <c r="AK80" i="2"/>
  <c r="AJ80" i="2"/>
  <c r="AI80" i="2"/>
  <c r="AH80" i="2"/>
  <c r="AG80" i="2"/>
  <c r="AF80" i="2"/>
  <c r="AE80" i="2"/>
  <c r="AD80" i="2"/>
  <c r="AC80" i="2"/>
  <c r="AC85" i="2"/>
  <c r="AB80" i="2"/>
  <c r="AA80" i="2"/>
  <c r="AA85" i="2"/>
  <c r="Z80" i="2"/>
  <c r="Y80" i="2"/>
  <c r="X80" i="2"/>
  <c r="W80" i="2"/>
  <c r="V80" i="2"/>
  <c r="V85" i="2"/>
  <c r="U80" i="2"/>
  <c r="U85" i="2"/>
  <c r="T80" i="2"/>
  <c r="S80" i="2"/>
  <c r="R80" i="2"/>
  <c r="R85" i="2"/>
  <c r="Q80" i="2"/>
  <c r="Q85" i="2"/>
  <c r="P80" i="2"/>
  <c r="O80" i="2"/>
  <c r="O85" i="2"/>
  <c r="N80" i="2"/>
  <c r="N85" i="2"/>
  <c r="M80" i="2"/>
  <c r="M85" i="2"/>
  <c r="L80" i="2"/>
  <c r="L85" i="2"/>
  <c r="K80" i="2"/>
  <c r="J80" i="2"/>
  <c r="I80" i="2"/>
  <c r="I85" i="2"/>
  <c r="H80" i="2"/>
  <c r="G80" i="2"/>
  <c r="G85" i="2"/>
  <c r="F80" i="2"/>
  <c r="F85" i="2"/>
  <c r="C80" i="2"/>
  <c r="C85" i="2"/>
  <c r="BD79" i="2"/>
  <c r="AZ79" i="2"/>
  <c r="E79" i="2"/>
  <c r="E80" i="2"/>
  <c r="E85" i="2"/>
  <c r="D79" i="2"/>
  <c r="D80" i="2"/>
  <c r="D85" i="2"/>
  <c r="BD78" i="2"/>
  <c r="AZ78" i="2"/>
  <c r="BH75" i="2"/>
  <c r="BG75" i="2"/>
  <c r="BF75" i="2"/>
  <c r="BE75" i="2"/>
  <c r="BD75" i="2"/>
  <c r="BC75" i="2"/>
  <c r="BB75" i="2"/>
  <c r="BA75" i="2"/>
  <c r="AZ75" i="2"/>
  <c r="AY75" i="2"/>
  <c r="AX75" i="2"/>
  <c r="AW75" i="2"/>
  <c r="AV75" i="2"/>
  <c r="AV94" i="2"/>
  <c r="AV95" i="2"/>
  <c r="AU75" i="2"/>
  <c r="AT75" i="2"/>
  <c r="AS75" i="2"/>
  <c r="AR75" i="2"/>
  <c r="AQ75" i="2"/>
  <c r="AP75" i="2"/>
  <c r="AO75" i="2"/>
  <c r="AN75" i="2"/>
  <c r="AM75" i="2"/>
  <c r="AL75" i="2"/>
  <c r="AL94" i="2"/>
  <c r="AJ73" i="2"/>
  <c r="AJ72" i="2"/>
  <c r="AJ276" i="2"/>
  <c r="AJ279" i="2"/>
  <c r="AJ295" i="2"/>
  <c r="AJ296" i="2"/>
  <c r="AF73" i="2"/>
  <c r="AF72" i="2"/>
  <c r="AB73" i="2"/>
  <c r="AB72" i="2"/>
  <c r="AB75" i="2"/>
  <c r="AK72" i="2"/>
  <c r="AK75" i="2"/>
  <c r="AI72" i="2"/>
  <c r="AI75" i="2"/>
  <c r="AH72" i="2"/>
  <c r="AH75" i="2"/>
  <c r="AG72" i="2"/>
  <c r="AE72" i="2"/>
  <c r="AE75" i="2"/>
  <c r="AD72" i="2"/>
  <c r="AD75" i="2"/>
  <c r="AD94" i="2"/>
  <c r="AD95" i="2"/>
  <c r="AC72" i="2"/>
  <c r="AC75" i="2"/>
  <c r="AA72" i="2"/>
  <c r="AA75" i="2"/>
  <c r="AA94" i="2"/>
  <c r="Z72" i="2"/>
  <c r="Y72" i="2"/>
  <c r="Y75" i="2"/>
  <c r="X72" i="2"/>
  <c r="X75" i="2"/>
  <c r="W72" i="2"/>
  <c r="V72" i="2"/>
  <c r="V75" i="2"/>
  <c r="U72" i="2"/>
  <c r="U75" i="2"/>
  <c r="BH66" i="2"/>
  <c r="BH88" i="2"/>
  <c r="BH89" i="2"/>
  <c r="BG66" i="2"/>
  <c r="BG88" i="2"/>
  <c r="BF66" i="2"/>
  <c r="BE66" i="2"/>
  <c r="BD66" i="2"/>
  <c r="BC66" i="2"/>
  <c r="BC88" i="2"/>
  <c r="BB66" i="2"/>
  <c r="BA66" i="2"/>
  <c r="BA88" i="2"/>
  <c r="AZ66" i="2"/>
  <c r="AY66" i="2"/>
  <c r="AY88" i="2"/>
  <c r="AX66" i="2"/>
  <c r="AX270" i="2"/>
  <c r="AW66" i="2"/>
  <c r="AW88" i="2"/>
  <c r="AV66" i="2"/>
  <c r="AU66" i="2"/>
  <c r="AU88" i="2"/>
  <c r="AT66" i="2"/>
  <c r="AS66" i="2"/>
  <c r="AR66" i="2"/>
  <c r="AR88" i="2"/>
  <c r="AQ66" i="2"/>
  <c r="AP66" i="2"/>
  <c r="AP88" i="2"/>
  <c r="AO66" i="2"/>
  <c r="AN66" i="2"/>
  <c r="AN88" i="2"/>
  <c r="AN89" i="2"/>
  <c r="AM66" i="2"/>
  <c r="AL66" i="2"/>
  <c r="AL88" i="2"/>
  <c r="AK66" i="2"/>
  <c r="AK88" i="2"/>
  <c r="AJ66" i="2"/>
  <c r="AI66" i="2"/>
  <c r="AI88" i="2"/>
  <c r="AI89" i="2"/>
  <c r="AH66" i="2"/>
  <c r="AH88" i="2"/>
  <c r="AH89" i="2"/>
  <c r="AG66" i="2"/>
  <c r="AG88" i="2"/>
  <c r="AG89" i="2"/>
  <c r="AF66" i="2"/>
  <c r="AF88" i="2"/>
  <c r="AF89" i="2"/>
  <c r="AE66" i="2"/>
  <c r="AE88" i="2"/>
  <c r="AE89" i="2"/>
  <c r="AD66" i="2"/>
  <c r="AD88" i="2"/>
  <c r="AD89" i="2"/>
  <c r="AC66" i="2"/>
  <c r="AC88" i="2"/>
  <c r="AC89" i="2"/>
  <c r="AB66" i="2"/>
  <c r="AB270" i="2"/>
  <c r="AB88" i="2"/>
  <c r="AB89" i="2"/>
  <c r="AA66" i="2"/>
  <c r="AA88" i="2"/>
  <c r="Z66" i="2"/>
  <c r="Z88" i="2"/>
  <c r="Y66" i="2"/>
  <c r="X66" i="2"/>
  <c r="X88" i="2"/>
  <c r="X89" i="2"/>
  <c r="W66" i="2"/>
  <c r="V66" i="2"/>
  <c r="V88" i="2"/>
  <c r="U66" i="2"/>
  <c r="U88" i="2"/>
  <c r="T66" i="2"/>
  <c r="T94" i="2"/>
  <c r="S66" i="2"/>
  <c r="R66" i="2"/>
  <c r="R94" i="2"/>
  <c r="Q66" i="2"/>
  <c r="P66" i="2"/>
  <c r="P94" i="2"/>
  <c r="O66" i="2"/>
  <c r="N66" i="2"/>
  <c r="N88" i="2"/>
  <c r="N89" i="2"/>
  <c r="M66" i="2"/>
  <c r="M94" i="2"/>
  <c r="L66" i="2"/>
  <c r="L94" i="2"/>
  <c r="K66" i="2"/>
  <c r="K94" i="2"/>
  <c r="J66" i="2"/>
  <c r="J94" i="2"/>
  <c r="J95" i="2"/>
  <c r="I66" i="2"/>
  <c r="H66" i="2"/>
  <c r="H94" i="2"/>
  <c r="H95" i="2"/>
  <c r="G66" i="2"/>
  <c r="G94" i="2"/>
  <c r="F66" i="2"/>
  <c r="F94" i="2"/>
  <c r="E66" i="2"/>
  <c r="D66" i="2"/>
  <c r="C66" i="2"/>
  <c r="C94" i="2"/>
  <c r="C95" i="2"/>
  <c r="BH61" i="2"/>
  <c r="BG61" i="2"/>
  <c r="BF61" i="2"/>
  <c r="BE61" i="2"/>
  <c r="BD61" i="2"/>
  <c r="BC61" i="2"/>
  <c r="BB61" i="2"/>
  <c r="BA61" i="2"/>
  <c r="AZ61" i="2"/>
  <c r="AY61" i="2"/>
  <c r="AX61" i="2"/>
  <c r="AW61" i="2"/>
  <c r="AV61" i="2"/>
  <c r="AU61" i="2"/>
  <c r="AT61" i="2"/>
  <c r="AS61" i="2"/>
  <c r="C61" i="2"/>
  <c r="BH60" i="2"/>
  <c r="BG60" i="2"/>
  <c r="BF60" i="2"/>
  <c r="BE60" i="2"/>
  <c r="BD60" i="2"/>
  <c r="BC60" i="2"/>
  <c r="BB60" i="2"/>
  <c r="BA60" i="2"/>
  <c r="AZ60" i="2"/>
  <c r="AY60" i="2"/>
  <c r="AX60" i="2"/>
  <c r="AW60" i="2"/>
  <c r="AV60" i="2"/>
  <c r="AU60" i="2"/>
  <c r="AT60" i="2"/>
  <c r="AS60" i="2"/>
  <c r="C60" i="2"/>
  <c r="BH58" i="2"/>
  <c r="BH70" i="2"/>
  <c r="BH274" i="2"/>
  <c r="BG58" i="2"/>
  <c r="BG62" i="2"/>
  <c r="BF58" i="2"/>
  <c r="BE58" i="2"/>
  <c r="BE70" i="2"/>
  <c r="BD58" i="2"/>
  <c r="BD70" i="2"/>
  <c r="BC58" i="2"/>
  <c r="BC70" i="2"/>
  <c r="BB58" i="2"/>
  <c r="BB70" i="2"/>
  <c r="BA58" i="2"/>
  <c r="BA70" i="2"/>
  <c r="AZ58" i="2"/>
  <c r="AY58" i="2"/>
  <c r="AY262" i="2"/>
  <c r="AX58" i="2"/>
  <c r="AX70" i="2"/>
  <c r="AW58" i="2"/>
  <c r="AW70" i="2"/>
  <c r="AV58" i="2"/>
  <c r="AV70" i="2"/>
  <c r="AU58" i="2"/>
  <c r="AT58" i="2"/>
  <c r="AT70" i="2"/>
  <c r="AS58" i="2"/>
  <c r="AR58" i="2"/>
  <c r="AR70" i="2"/>
  <c r="AQ58" i="2"/>
  <c r="AQ70" i="2"/>
  <c r="AP58" i="2"/>
  <c r="AP70" i="2"/>
  <c r="AO58" i="2"/>
  <c r="AO70" i="2"/>
  <c r="AN58" i="2"/>
  <c r="AN70" i="2"/>
  <c r="AM58" i="2"/>
  <c r="AM70" i="2"/>
  <c r="AL58" i="2"/>
  <c r="AL70" i="2"/>
  <c r="AK58" i="2"/>
  <c r="AK70" i="2"/>
  <c r="AJ58" i="2"/>
  <c r="AJ70" i="2"/>
  <c r="AI58" i="2"/>
  <c r="AI70" i="2"/>
  <c r="AH58" i="2"/>
  <c r="AH70" i="2"/>
  <c r="AG58" i="2"/>
  <c r="AG70" i="2"/>
  <c r="AF58" i="2"/>
  <c r="AF70" i="2"/>
  <c r="AE58" i="2"/>
  <c r="AD58" i="2"/>
  <c r="AD70" i="2"/>
  <c r="AC58" i="2"/>
  <c r="AC70" i="2"/>
  <c r="AB58" i="2"/>
  <c r="AB70" i="2"/>
  <c r="AA58" i="2"/>
  <c r="AA262" i="2"/>
  <c r="Z58" i="2"/>
  <c r="Z70" i="2"/>
  <c r="Y58" i="2"/>
  <c r="Y70" i="2"/>
  <c r="X58" i="2"/>
  <c r="X70" i="2"/>
  <c r="W58" i="2"/>
  <c r="W70" i="2"/>
  <c r="V58" i="2"/>
  <c r="V70" i="2"/>
  <c r="U58" i="2"/>
  <c r="U262" i="2"/>
  <c r="T58" i="2"/>
  <c r="S58" i="2"/>
  <c r="S70" i="2"/>
  <c r="R58" i="2"/>
  <c r="Q58" i="2"/>
  <c r="Q70" i="2"/>
  <c r="P58" i="2"/>
  <c r="O58" i="2"/>
  <c r="O70" i="2"/>
  <c r="N58" i="2"/>
  <c r="N70" i="2"/>
  <c r="M58" i="2"/>
  <c r="L58" i="2"/>
  <c r="K58" i="2"/>
  <c r="K70" i="2"/>
  <c r="J58" i="2"/>
  <c r="J70" i="2"/>
  <c r="I58" i="2"/>
  <c r="I70" i="2"/>
  <c r="H58" i="2"/>
  <c r="H70" i="2"/>
  <c r="G58" i="2"/>
  <c r="G70" i="2"/>
  <c r="F58" i="2"/>
  <c r="F70" i="2"/>
  <c r="E58" i="2"/>
  <c r="E70" i="2"/>
  <c r="D58" i="2"/>
  <c r="C58" i="2"/>
  <c r="C70" i="2"/>
  <c r="AV53" i="2"/>
  <c r="AU53" i="2"/>
  <c r="AJ53" i="2"/>
  <c r="AI53" i="2"/>
  <c r="AH53" i="2"/>
  <c r="AG53" i="2"/>
  <c r="AB53" i="2"/>
  <c r="AA53" i="2"/>
  <c r="BH49" i="2"/>
  <c r="BG49" i="2"/>
  <c r="BF49" i="2"/>
  <c r="BE49" i="2"/>
  <c r="BD49" i="2"/>
  <c r="BC49" i="2"/>
  <c r="BB49" i="2"/>
  <c r="BA49" i="2"/>
  <c r="AZ49" i="2"/>
  <c r="AS49" i="2"/>
  <c r="AQ49" i="2"/>
  <c r="AM49" i="2"/>
  <c r="AY48" i="2"/>
  <c r="AY49" i="2"/>
  <c r="AX48" i="2"/>
  <c r="AX49" i="2"/>
  <c r="AW48" i="2"/>
  <c r="AW49" i="2"/>
  <c r="AV48" i="2"/>
  <c r="AV49" i="2"/>
  <c r="AU48" i="2"/>
  <c r="AU49" i="2"/>
  <c r="AS48" i="2"/>
  <c r="AQ48" i="2"/>
  <c r="AM48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E38" i="2"/>
  <c r="E39" i="2"/>
  <c r="D38" i="2"/>
  <c r="D39" i="2"/>
  <c r="BH34" i="2"/>
  <c r="BG34" i="2"/>
  <c r="BF34" i="2"/>
  <c r="BF35" i="2"/>
  <c r="BE34" i="2"/>
  <c r="BC34" i="2"/>
  <c r="BD34" i="2"/>
  <c r="BB34" i="2"/>
  <c r="BA34" i="2"/>
  <c r="AY34" i="2"/>
  <c r="AX34" i="2"/>
  <c r="AW34" i="2"/>
  <c r="AV34" i="2"/>
  <c r="AU34" i="2"/>
  <c r="AT34" i="2"/>
  <c r="AS34" i="2"/>
  <c r="AS35" i="2"/>
  <c r="AR34" i="2"/>
  <c r="AR35" i="2"/>
  <c r="AQ34" i="2"/>
  <c r="AP34" i="2"/>
  <c r="AO34" i="2"/>
  <c r="AN34" i="2"/>
  <c r="AM34" i="2"/>
  <c r="AL34" i="2"/>
  <c r="AK34" i="2"/>
  <c r="AJ34" i="2"/>
  <c r="AI34" i="2"/>
  <c r="AH34" i="2"/>
  <c r="AG34" i="2"/>
  <c r="AG35" i="2"/>
  <c r="BD33" i="2"/>
  <c r="AZ33" i="2"/>
  <c r="BH32" i="2"/>
  <c r="BG32" i="2"/>
  <c r="BF32" i="2"/>
  <c r="BD32" i="2"/>
  <c r="AT32" i="2"/>
  <c r="AS32" i="2"/>
  <c r="AR32" i="2"/>
  <c r="AQ32" i="2"/>
  <c r="AP32" i="2"/>
  <c r="AO32" i="2"/>
  <c r="AO35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C35" i="2"/>
  <c r="AB32" i="2"/>
  <c r="AA32" i="2"/>
  <c r="Y32" i="2"/>
  <c r="X32" i="2"/>
  <c r="V32" i="2"/>
  <c r="U32" i="2"/>
  <c r="T32" i="2"/>
  <c r="S32" i="2"/>
  <c r="R32" i="2"/>
  <c r="P32" i="2"/>
  <c r="K32" i="2"/>
  <c r="J32" i="2"/>
  <c r="I32" i="2"/>
  <c r="H32" i="2"/>
  <c r="C32" i="2"/>
  <c r="C35" i="2"/>
  <c r="BD31" i="2"/>
  <c r="AZ31" i="2"/>
  <c r="BH30" i="2"/>
  <c r="BG30" i="2"/>
  <c r="BF30" i="2"/>
  <c r="BE30" i="2"/>
  <c r="BC30" i="2"/>
  <c r="BB30" i="2"/>
  <c r="BA30" i="2"/>
  <c r="BA35" i="2"/>
  <c r="AY30" i="2"/>
  <c r="AY35" i="2"/>
  <c r="AX30" i="2"/>
  <c r="AW30" i="2"/>
  <c r="AW35" i="2"/>
  <c r="AV30" i="2"/>
  <c r="AU30" i="2"/>
  <c r="AT30" i="2"/>
  <c r="AS30" i="2"/>
  <c r="AR30" i="2"/>
  <c r="AQ30" i="2"/>
  <c r="AP30" i="2"/>
  <c r="AO30" i="2"/>
  <c r="AN30" i="2"/>
  <c r="AN35" i="2"/>
  <c r="AM30" i="2"/>
  <c r="AM35" i="2"/>
  <c r="AL30" i="2"/>
  <c r="AK30" i="2"/>
  <c r="AJ30" i="2"/>
  <c r="AI30" i="2"/>
  <c r="AH30" i="2"/>
  <c r="AG30" i="2"/>
  <c r="AF30" i="2"/>
  <c r="AE30" i="2"/>
  <c r="AD30" i="2"/>
  <c r="AC30" i="2"/>
  <c r="AB30" i="2"/>
  <c r="AB35" i="2"/>
  <c r="AA30" i="2"/>
  <c r="AA35" i="2"/>
  <c r="Z30" i="2"/>
  <c r="Z35" i="2"/>
  <c r="Y30" i="2"/>
  <c r="X30" i="2"/>
  <c r="W30" i="2"/>
  <c r="W35" i="2"/>
  <c r="V30" i="2"/>
  <c r="U30" i="2"/>
  <c r="T30" i="2"/>
  <c r="S30" i="2"/>
  <c r="R30" i="2"/>
  <c r="R35" i="2"/>
  <c r="Q30" i="2"/>
  <c r="Q35" i="2"/>
  <c r="P30" i="2"/>
  <c r="P35" i="2"/>
  <c r="O30" i="2"/>
  <c r="O35" i="2"/>
  <c r="N30" i="2"/>
  <c r="N35" i="2"/>
  <c r="M30" i="2"/>
  <c r="M35" i="2"/>
  <c r="L30" i="2"/>
  <c r="L35" i="2"/>
  <c r="K30" i="2"/>
  <c r="K35" i="2"/>
  <c r="J30" i="2"/>
  <c r="J35" i="2"/>
  <c r="I30" i="2"/>
  <c r="H30" i="2"/>
  <c r="H35" i="2"/>
  <c r="G30" i="2"/>
  <c r="G35" i="2"/>
  <c r="F30" i="2"/>
  <c r="F35" i="2"/>
  <c r="C30" i="2"/>
  <c r="BD29" i="2"/>
  <c r="AZ29" i="2"/>
  <c r="E29" i="2"/>
  <c r="D29" i="2"/>
  <c r="D44" i="2"/>
  <c r="D30" i="2"/>
  <c r="D35" i="2"/>
  <c r="BD28" i="2"/>
  <c r="AZ28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3" i="2"/>
  <c r="AL277" i="2"/>
  <c r="AL279" i="2"/>
  <c r="AJ23" i="2"/>
  <c r="AJ22" i="2"/>
  <c r="AJ25" i="2"/>
  <c r="AJ44" i="2"/>
  <c r="AJ45" i="2"/>
  <c r="AF23" i="2"/>
  <c r="AF22" i="2"/>
  <c r="AD23" i="2"/>
  <c r="AB23" i="2"/>
  <c r="AB22" i="2"/>
  <c r="AB25" i="2"/>
  <c r="AK22" i="2"/>
  <c r="AK25" i="2"/>
  <c r="AK44" i="2"/>
  <c r="AK45" i="2"/>
  <c r="AI22" i="2"/>
  <c r="AI25" i="2"/>
  <c r="AH22" i="2"/>
  <c r="AH25" i="2"/>
  <c r="AG22" i="2"/>
  <c r="AG25" i="2"/>
  <c r="AE22" i="2"/>
  <c r="AE25" i="2"/>
  <c r="AC22" i="2"/>
  <c r="AC25" i="2"/>
  <c r="AA22" i="2"/>
  <c r="Z22" i="2"/>
  <c r="Z25" i="2"/>
  <c r="Z44" i="2"/>
  <c r="Z45" i="2"/>
  <c r="Y22" i="2"/>
  <c r="Y25" i="2"/>
  <c r="X22" i="2"/>
  <c r="X25" i="2"/>
  <c r="X44" i="2"/>
  <c r="W22" i="2"/>
  <c r="W25" i="2"/>
  <c r="V22" i="2"/>
  <c r="V25" i="2"/>
  <c r="U22" i="2"/>
  <c r="U25" i="2"/>
  <c r="BH16" i="2"/>
  <c r="BG16" i="2"/>
  <c r="BG38" i="2"/>
  <c r="BG39" i="2"/>
  <c r="BF16" i="2"/>
  <c r="BF38" i="2"/>
  <c r="BF39" i="2"/>
  <c r="BE16" i="2"/>
  <c r="BD16" i="2"/>
  <c r="BC16" i="2"/>
  <c r="BC270" i="2"/>
  <c r="BB16" i="2"/>
  <c r="BB38" i="2"/>
  <c r="BB39" i="2"/>
  <c r="BA16" i="2"/>
  <c r="BA38" i="2"/>
  <c r="BA39" i="2"/>
  <c r="AZ16" i="2"/>
  <c r="AY16" i="2"/>
  <c r="AY38" i="2"/>
  <c r="AY39" i="2"/>
  <c r="AX16" i="2"/>
  <c r="AW16" i="2"/>
  <c r="AW38" i="2"/>
  <c r="AW39" i="2"/>
  <c r="AV16" i="2"/>
  <c r="AV270" i="2"/>
  <c r="AU16" i="2"/>
  <c r="AT16" i="2"/>
  <c r="AT38" i="2"/>
  <c r="AT39" i="2"/>
  <c r="AS16" i="2"/>
  <c r="AR16" i="2"/>
  <c r="AQ16" i="2"/>
  <c r="AQ44" i="2"/>
  <c r="AQ45" i="2"/>
  <c r="AQ38" i="2"/>
  <c r="AQ39" i="2"/>
  <c r="AP16" i="2"/>
  <c r="AO16" i="2"/>
  <c r="AO38" i="2"/>
  <c r="AO39" i="2"/>
  <c r="AN16" i="2"/>
  <c r="AN38" i="2"/>
  <c r="AN39" i="2"/>
  <c r="AM16" i="2"/>
  <c r="AM38" i="2"/>
  <c r="AM39" i="2"/>
  <c r="AL16" i="2"/>
  <c r="AK16" i="2"/>
  <c r="AK38" i="2"/>
  <c r="AK39" i="2"/>
  <c r="AJ16" i="2"/>
  <c r="AJ38" i="2"/>
  <c r="AJ39" i="2"/>
  <c r="AI16" i="2"/>
  <c r="AI38" i="2"/>
  <c r="AI39" i="2"/>
  <c r="AH16" i="2"/>
  <c r="AH38" i="2"/>
  <c r="AH39" i="2"/>
  <c r="AG16" i="2"/>
  <c r="AG38" i="2"/>
  <c r="AG39" i="2"/>
  <c r="AF16" i="2"/>
  <c r="AF38" i="2"/>
  <c r="AF39" i="2"/>
  <c r="AE16" i="2"/>
  <c r="AE38" i="2"/>
  <c r="AE39" i="2"/>
  <c r="AD16" i="2"/>
  <c r="AC16" i="2"/>
  <c r="AC38" i="2"/>
  <c r="AC39" i="2"/>
  <c r="AB16" i="2"/>
  <c r="AB38" i="2"/>
  <c r="AB39" i="2"/>
  <c r="AA16" i="2"/>
  <c r="AA38" i="2"/>
  <c r="AA39" i="2"/>
  <c r="Z16" i="2"/>
  <c r="Y16" i="2"/>
  <c r="Y38" i="2"/>
  <c r="Y39" i="2"/>
  <c r="X16" i="2"/>
  <c r="X38" i="2"/>
  <c r="X39" i="2"/>
  <c r="W16" i="2"/>
  <c r="W38" i="2"/>
  <c r="W39" i="2"/>
  <c r="V16" i="2"/>
  <c r="V38" i="2"/>
  <c r="V39" i="2"/>
  <c r="U16" i="2"/>
  <c r="U38" i="2"/>
  <c r="U39" i="2"/>
  <c r="T16" i="2"/>
  <c r="S16" i="2"/>
  <c r="R16" i="2"/>
  <c r="R44" i="2"/>
  <c r="R45" i="2"/>
  <c r="Q16" i="2"/>
  <c r="Q44" i="2"/>
  <c r="Q45" i="2"/>
  <c r="P16" i="2"/>
  <c r="O16" i="2"/>
  <c r="N16" i="2"/>
  <c r="N44" i="2"/>
  <c r="N45" i="2"/>
  <c r="M16" i="2"/>
  <c r="M44" i="2"/>
  <c r="M45" i="2"/>
  <c r="L16" i="2"/>
  <c r="K16" i="2"/>
  <c r="K270" i="2"/>
  <c r="J16" i="2"/>
  <c r="J44" i="2"/>
  <c r="J45" i="2"/>
  <c r="I16" i="2"/>
  <c r="H16" i="2"/>
  <c r="H44" i="2"/>
  <c r="H45" i="2"/>
  <c r="G16" i="2"/>
  <c r="F16" i="2"/>
  <c r="F38" i="2"/>
  <c r="E16" i="2"/>
  <c r="D16" i="2"/>
  <c r="C16" i="2"/>
  <c r="C44" i="2"/>
  <c r="C45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C11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C10" i="2"/>
  <c r="BH8" i="2"/>
  <c r="BH20" i="2"/>
  <c r="BG8" i="2"/>
  <c r="BF8" i="2"/>
  <c r="BF262" i="2"/>
  <c r="BF20" i="2"/>
  <c r="BE8" i="2"/>
  <c r="BE20" i="2"/>
  <c r="BD8" i="2"/>
  <c r="BC8" i="2"/>
  <c r="BC20" i="2"/>
  <c r="BB8" i="2"/>
  <c r="BB20" i="2"/>
  <c r="BA8" i="2"/>
  <c r="AZ8" i="2"/>
  <c r="AY8" i="2"/>
  <c r="AY12" i="2"/>
  <c r="AX8" i="2"/>
  <c r="AW8" i="2"/>
  <c r="AW20" i="2"/>
  <c r="AW274" i="2"/>
  <c r="AV8" i="2"/>
  <c r="AV20" i="2"/>
  <c r="AU8" i="2"/>
  <c r="AU20" i="2"/>
  <c r="AT8" i="2"/>
  <c r="AS8" i="2"/>
  <c r="AR8" i="2"/>
  <c r="AQ8" i="2"/>
  <c r="AQ20" i="2"/>
  <c r="AP8" i="2"/>
  <c r="AP20" i="2"/>
  <c r="AO8" i="2"/>
  <c r="AO20" i="2"/>
  <c r="AN8" i="2"/>
  <c r="AM8" i="2"/>
  <c r="AM20" i="2"/>
  <c r="AL8" i="2"/>
  <c r="AL20" i="2"/>
  <c r="AK8" i="2"/>
  <c r="AK20" i="2"/>
  <c r="AJ8" i="2"/>
  <c r="AJ20" i="2"/>
  <c r="AI8" i="2"/>
  <c r="AI20" i="2"/>
  <c r="AH8" i="2"/>
  <c r="AH20" i="2"/>
  <c r="AG8" i="2"/>
  <c r="AG20" i="2"/>
  <c r="AF8" i="2"/>
  <c r="AF20" i="2"/>
  <c r="AE8" i="2"/>
  <c r="AE20" i="2"/>
  <c r="AD8" i="2"/>
  <c r="AD20" i="2"/>
  <c r="AD274" i="2"/>
  <c r="AC8" i="2"/>
  <c r="AB8" i="2"/>
  <c r="AB262" i="2"/>
  <c r="AB20" i="2"/>
  <c r="AB274" i="2"/>
  <c r="AA8" i="2"/>
  <c r="AA20" i="2"/>
  <c r="Z8" i="2"/>
  <c r="Z20" i="2"/>
  <c r="Y8" i="2"/>
  <c r="Y20" i="2"/>
  <c r="X8" i="2"/>
  <c r="X20" i="2"/>
  <c r="W8" i="2"/>
  <c r="W262" i="2"/>
  <c r="V8" i="2"/>
  <c r="V20" i="2"/>
  <c r="U8" i="2"/>
  <c r="U20" i="2"/>
  <c r="T8" i="2"/>
  <c r="T20" i="2"/>
  <c r="S8" i="2"/>
  <c r="S20" i="2"/>
  <c r="R8" i="2"/>
  <c r="R20" i="2"/>
  <c r="Q8" i="2"/>
  <c r="Q262" i="2"/>
  <c r="Q20" i="2"/>
  <c r="Q274" i="2"/>
  <c r="P8" i="2"/>
  <c r="P20" i="2"/>
  <c r="O8" i="2"/>
  <c r="O20" i="2"/>
  <c r="N8" i="2"/>
  <c r="N20" i="2"/>
  <c r="M8" i="2"/>
  <c r="M20" i="2"/>
  <c r="L8" i="2"/>
  <c r="L20" i="2"/>
  <c r="K8" i="2"/>
  <c r="K20" i="2"/>
  <c r="J8" i="2"/>
  <c r="J20" i="2"/>
  <c r="I8" i="2"/>
  <c r="I20" i="2"/>
  <c r="I274" i="2"/>
  <c r="H8" i="2"/>
  <c r="H20" i="2"/>
  <c r="G8" i="2"/>
  <c r="G20" i="2"/>
  <c r="F8" i="2"/>
  <c r="F20" i="2"/>
  <c r="E8" i="2"/>
  <c r="E262" i="2"/>
  <c r="D8" i="2"/>
  <c r="D20" i="2"/>
  <c r="C8" i="2"/>
  <c r="AV3" i="2"/>
  <c r="AU3" i="2"/>
  <c r="AP3" i="2"/>
  <c r="AP257" i="2"/>
  <c r="AJ3" i="2"/>
  <c r="AI3" i="2"/>
  <c r="AH3" i="2"/>
  <c r="AG3" i="2"/>
  <c r="AB3" i="2"/>
  <c r="AA3" i="2"/>
  <c r="AA257" i="2"/>
  <c r="AH93" i="2"/>
  <c r="BG99" i="2"/>
  <c r="AY298" i="2"/>
  <c r="BE99" i="2"/>
  <c r="AZ298" i="2"/>
  <c r="BD298" i="2"/>
  <c r="BF172" i="2"/>
  <c r="AA113" i="2"/>
  <c r="AX145" i="2"/>
  <c r="BD164" i="2"/>
  <c r="K93" i="2"/>
  <c r="AC93" i="2"/>
  <c r="AI93" i="2"/>
  <c r="AU93" i="2"/>
  <c r="BG93" i="2"/>
  <c r="AU97" i="2"/>
  <c r="BG151" i="2"/>
  <c r="BG202" i="2"/>
  <c r="H38" i="2"/>
  <c r="H39" i="2"/>
  <c r="AU144" i="2"/>
  <c r="D121" i="2"/>
  <c r="P121" i="2"/>
  <c r="AZ121" i="2"/>
  <c r="W126" i="2"/>
  <c r="O145" i="2"/>
  <c r="O139" i="2"/>
  <c r="AA139" i="2"/>
  <c r="AM139" i="2"/>
  <c r="C121" i="2"/>
  <c r="AA121" i="2"/>
  <c r="AM121" i="2"/>
  <c r="AK126" i="2"/>
  <c r="AK145" i="2"/>
  <c r="AF123" i="2"/>
  <c r="AF126" i="2"/>
  <c r="AF145" i="2"/>
  <c r="AF146" i="2"/>
  <c r="V126" i="2"/>
  <c r="V145" i="2"/>
  <c r="V146" i="2"/>
  <c r="BC164" i="2"/>
  <c r="BE272" i="2"/>
  <c r="BG272" i="2"/>
  <c r="K273" i="2"/>
  <c r="Q265" i="2"/>
  <c r="AW273" i="2"/>
  <c r="BG273" i="2"/>
  <c r="Z139" i="2"/>
  <c r="AL139" i="2"/>
  <c r="AX139" i="2"/>
  <c r="BB172" i="2"/>
  <c r="U272" i="2"/>
  <c r="AS272" i="2"/>
  <c r="H261" i="1"/>
  <c r="F269" i="1"/>
  <c r="F296" i="1"/>
  <c r="D81" i="1"/>
  <c r="AB121" i="2"/>
  <c r="AV93" i="2"/>
  <c r="AC20" i="2"/>
  <c r="AS88" i="2"/>
  <c r="AS89" i="2"/>
  <c r="AY113" i="2"/>
  <c r="AY121" i="2"/>
  <c r="BQ62" i="2"/>
  <c r="BA298" i="2"/>
  <c r="G131" i="1"/>
  <c r="D131" i="1"/>
  <c r="BK136" i="2"/>
  <c r="BJ131" i="2"/>
  <c r="BP88" i="2"/>
  <c r="BP89" i="2"/>
  <c r="BM257" i="2"/>
  <c r="BR113" i="2"/>
  <c r="BP257" i="2"/>
  <c r="BQ192" i="2"/>
  <c r="BQ193" i="2"/>
  <c r="BI257" i="2"/>
  <c r="BK139" i="2"/>
  <c r="BK140" i="2"/>
  <c r="S136" i="2"/>
  <c r="BQ90" i="2"/>
  <c r="BQ91" i="2"/>
  <c r="BE88" i="2"/>
  <c r="AZ34" i="2"/>
  <c r="W144" i="2"/>
  <c r="T88" i="2"/>
  <c r="T89" i="2"/>
  <c r="BM298" i="2"/>
  <c r="BM300" i="2"/>
  <c r="BK199" i="2"/>
  <c r="BK201" i="2"/>
  <c r="BJ190" i="2"/>
  <c r="BJ191" i="2"/>
  <c r="BJ16" i="2"/>
  <c r="M31" i="1"/>
  <c r="L363" i="1"/>
  <c r="O361" i="1"/>
  <c r="P361" i="1"/>
  <c r="O277" i="1"/>
  <c r="N81" i="1"/>
  <c r="O182" i="1"/>
  <c r="L362" i="1"/>
  <c r="N365" i="1"/>
  <c r="BJ182" i="2"/>
  <c r="BJ187" i="2"/>
  <c r="W136" i="2"/>
  <c r="R145" i="2"/>
  <c r="BS136" i="2"/>
  <c r="BE298" i="2"/>
  <c r="AW97" i="2"/>
  <c r="BG164" i="2"/>
  <c r="BK12" i="2"/>
  <c r="AZ265" i="2"/>
  <c r="AB265" i="2"/>
  <c r="Y151" i="2"/>
  <c r="Y144" i="2"/>
  <c r="L264" i="2"/>
  <c r="K290" i="1"/>
  <c r="L279" i="1"/>
  <c r="L284" i="1"/>
  <c r="AA140" i="2"/>
  <c r="BC113" i="2"/>
  <c r="BM279" i="2"/>
  <c r="AF284" i="2"/>
  <c r="BM262" i="2"/>
  <c r="BT257" i="2"/>
  <c r="Z85" i="2"/>
  <c r="AN136" i="2"/>
  <c r="BK257" i="2"/>
  <c r="AJ85" i="2"/>
  <c r="BL62" i="2"/>
  <c r="BP139" i="2"/>
  <c r="BP140" i="2"/>
  <c r="BK85" i="2"/>
  <c r="BR290" i="2"/>
  <c r="BO40" i="2"/>
  <c r="BO41" i="2"/>
  <c r="BR141" i="2"/>
  <c r="BR142" i="2"/>
  <c r="T113" i="2"/>
  <c r="BN265" i="2"/>
  <c r="AH264" i="2"/>
  <c r="BI164" i="2"/>
  <c r="BK164" i="2"/>
  <c r="BQ265" i="2"/>
  <c r="BR298" i="2"/>
  <c r="E93" i="2"/>
  <c r="AL95" i="2"/>
  <c r="BH284" i="2"/>
  <c r="BI187" i="2"/>
  <c r="BL279" i="2"/>
  <c r="U145" i="2"/>
  <c r="U146" i="2"/>
  <c r="BO264" i="2"/>
  <c r="BO139" i="2"/>
  <c r="BO140" i="2"/>
  <c r="AU300" i="2"/>
  <c r="Q93" i="2"/>
  <c r="BP38" i="2"/>
  <c r="BP39" i="2"/>
  <c r="BQ12" i="2"/>
  <c r="BJ265" i="2"/>
  <c r="BO113" i="2"/>
  <c r="AC140" i="2"/>
  <c r="BO284" i="2"/>
  <c r="BO12" i="2"/>
  <c r="BI190" i="2"/>
  <c r="BI300" i="2"/>
  <c r="AR265" i="2"/>
  <c r="BA136" i="2"/>
  <c r="AW298" i="2"/>
  <c r="BJ279" i="2"/>
  <c r="BL262" i="2"/>
  <c r="BL274" i="2"/>
  <c r="BN262" i="2"/>
  <c r="BN274" i="2"/>
  <c r="BQ141" i="2"/>
  <c r="BQ142" i="2"/>
  <c r="BR12" i="2"/>
  <c r="BI286" i="2"/>
  <c r="BP264" i="2"/>
  <c r="BP62" i="2"/>
  <c r="BO270" i="2"/>
  <c r="BO291" i="2"/>
  <c r="BO292" i="2"/>
  <c r="AS93" i="2"/>
  <c r="D113" i="2"/>
  <c r="P113" i="2"/>
  <c r="AZ113" i="2"/>
  <c r="AX264" i="2"/>
  <c r="R265" i="2"/>
  <c r="BK113" i="2"/>
  <c r="BK279" i="2"/>
  <c r="G95" i="2"/>
  <c r="BK38" i="2"/>
  <c r="BK39" i="2"/>
  <c r="BR38" i="2"/>
  <c r="BR39" i="2"/>
  <c r="BJ283" i="2"/>
  <c r="K95" i="2"/>
  <c r="BG89" i="2"/>
  <c r="AP262" i="2"/>
  <c r="Q113" i="2"/>
  <c r="AZ139" i="2"/>
  <c r="AZ140" i="2"/>
  <c r="BD190" i="2"/>
  <c r="W264" i="2"/>
  <c r="AU264" i="2"/>
  <c r="AM264" i="2"/>
  <c r="T284" i="2"/>
  <c r="AR284" i="2"/>
  <c r="BF284" i="2"/>
  <c r="Z284" i="2"/>
  <c r="AX284" i="2"/>
  <c r="BP265" i="2"/>
  <c r="BB260" i="2"/>
  <c r="BB272" i="2"/>
  <c r="AG93" i="2"/>
  <c r="AP113" i="2"/>
  <c r="BB113" i="2"/>
  <c r="Z145" i="2"/>
  <c r="Z146" i="2"/>
  <c r="AG284" i="2"/>
  <c r="BG284" i="2"/>
  <c r="AY284" i="2"/>
  <c r="BQ35" i="2"/>
  <c r="BJ12" i="2"/>
  <c r="AX296" i="2"/>
  <c r="AS94" i="2"/>
  <c r="AS95" i="2"/>
  <c r="AM145" i="2"/>
  <c r="AY265" i="2"/>
  <c r="E264" i="2"/>
  <c r="AO264" i="2"/>
  <c r="AG265" i="2"/>
  <c r="AS265" i="2"/>
  <c r="BE265" i="2"/>
  <c r="AW279" i="2"/>
  <c r="J284" i="2"/>
  <c r="V284" i="2"/>
  <c r="AH284" i="2"/>
  <c r="AT284" i="2"/>
  <c r="P284" i="2"/>
  <c r="AN284" i="2"/>
  <c r="BA284" i="2"/>
  <c r="BP300" i="2"/>
  <c r="S93" i="2"/>
  <c r="AU99" i="2"/>
  <c r="AL136" i="2"/>
  <c r="AX136" i="2"/>
  <c r="BL12" i="2"/>
  <c r="BI270" i="2"/>
  <c r="BI293" i="2"/>
  <c r="BI294" i="2"/>
  <c r="AL25" i="2"/>
  <c r="AL44" i="2"/>
  <c r="AL45" i="2"/>
  <c r="G264" i="2"/>
  <c r="S264" i="2"/>
  <c r="AE264" i="2"/>
  <c r="AQ264" i="2"/>
  <c r="BG265" i="2"/>
  <c r="AV144" i="2"/>
  <c r="AV148" i="2"/>
  <c r="L95" i="2"/>
  <c r="BE164" i="2"/>
  <c r="L88" i="2"/>
  <c r="BE62" i="2"/>
  <c r="BK62" i="2"/>
  <c r="AV97" i="2"/>
  <c r="AJ264" i="2"/>
  <c r="AI264" i="2"/>
  <c r="C265" i="2"/>
  <c r="AW148" i="2"/>
  <c r="R113" i="2"/>
  <c r="J264" i="2"/>
  <c r="BR88" i="2"/>
  <c r="BR89" i="2"/>
  <c r="BH93" i="2"/>
  <c r="P145" i="2"/>
  <c r="AP121" i="2"/>
  <c r="BQ300" i="2"/>
  <c r="M95" i="2"/>
  <c r="BU265" i="2"/>
  <c r="BL199" i="2"/>
  <c r="E145" i="2"/>
  <c r="E146" i="2"/>
  <c r="BH151" i="2"/>
  <c r="BH202" i="2"/>
  <c r="BH195" i="2"/>
  <c r="Z265" i="2"/>
  <c r="AU272" i="2"/>
  <c r="F145" i="2"/>
  <c r="F146" i="2"/>
  <c r="BC62" i="2"/>
  <c r="AT12" i="2"/>
  <c r="AT44" i="2"/>
  <c r="AT45" i="2"/>
  <c r="V94" i="2"/>
  <c r="AK94" i="2"/>
  <c r="AK95" i="2"/>
  <c r="D89" i="2"/>
  <c r="AG113" i="2"/>
  <c r="AF270" i="2"/>
  <c r="AF289" i="2"/>
  <c r="AF290" i="2"/>
  <c r="BD139" i="2"/>
  <c r="AC145" i="2"/>
  <c r="AC146" i="2"/>
  <c r="AN145" i="2"/>
  <c r="AN146" i="2"/>
  <c r="BD131" i="2"/>
  <c r="BD136" i="2"/>
  <c r="AQ136" i="2"/>
  <c r="BN284" i="2"/>
  <c r="E113" i="2"/>
  <c r="Z140" i="2"/>
  <c r="BQ292" i="2"/>
  <c r="BI113" i="2"/>
  <c r="BM195" i="2"/>
  <c r="AK151" i="2"/>
  <c r="AK144" i="2"/>
  <c r="M264" i="2"/>
  <c r="D145" i="2"/>
  <c r="P139" i="2"/>
  <c r="AA265" i="2"/>
  <c r="G139" i="2"/>
  <c r="G140" i="2"/>
  <c r="T121" i="2"/>
  <c r="AU62" i="2"/>
  <c r="AA89" i="2"/>
  <c r="AU94" i="2"/>
  <c r="AU95" i="2"/>
  <c r="BM12" i="2"/>
  <c r="W272" i="2"/>
  <c r="AV99" i="2"/>
  <c r="M93" i="2"/>
  <c r="BB139" i="2"/>
  <c r="X94" i="2"/>
  <c r="X95" i="2"/>
  <c r="AW99" i="2"/>
  <c r="J113" i="2"/>
  <c r="AP145" i="2"/>
  <c r="AS136" i="2"/>
  <c r="AX300" i="2"/>
  <c r="BQ298" i="2"/>
  <c r="BL270" i="2"/>
  <c r="BL289" i="2"/>
  <c r="BL290" i="2"/>
  <c r="BL201" i="2"/>
  <c r="BL113" i="2"/>
  <c r="BM199" i="2"/>
  <c r="AC262" i="2"/>
  <c r="D265" i="2"/>
  <c r="K264" i="2"/>
  <c r="AW94" i="2"/>
  <c r="AW95" i="2"/>
  <c r="AX99" i="2"/>
  <c r="U264" i="2"/>
  <c r="AS264" i="2"/>
  <c r="BG264" i="2"/>
  <c r="M265" i="2"/>
  <c r="Y265" i="2"/>
  <c r="AK265" i="2"/>
  <c r="AR279" i="2"/>
  <c r="AO279" i="2"/>
  <c r="H284" i="2"/>
  <c r="AB113" i="2"/>
  <c r="AW93" i="2"/>
  <c r="AM93" i="2"/>
  <c r="BM270" i="2"/>
  <c r="BM293" i="2"/>
  <c r="BM294" i="2"/>
  <c r="BA300" i="2"/>
  <c r="BH97" i="2"/>
  <c r="D139" i="2"/>
  <c r="D140" i="2"/>
  <c r="J88" i="2"/>
  <c r="J89" i="2"/>
  <c r="Z93" i="2"/>
  <c r="BD38" i="2"/>
  <c r="BD39" i="2"/>
  <c r="AV145" i="2"/>
  <c r="AR145" i="2"/>
  <c r="AI136" i="2"/>
  <c r="K88" i="2"/>
  <c r="K89" i="2"/>
  <c r="BL164" i="2"/>
  <c r="AK264" i="2"/>
  <c r="AP139" i="2"/>
  <c r="O265" i="2"/>
  <c r="AW150" i="2"/>
  <c r="AA93" i="2"/>
  <c r="AM44" i="2"/>
  <c r="AM45" i="2"/>
  <c r="BS264" i="2"/>
  <c r="AT264" i="2"/>
  <c r="BC300" i="2"/>
  <c r="C69" i="3"/>
  <c r="C70" i="3"/>
  <c r="L31" i="1"/>
  <c r="F284" i="1"/>
  <c r="G269" i="1"/>
  <c r="M290" i="1"/>
  <c r="M261" i="1"/>
  <c r="E131" i="1"/>
  <c r="J361" i="1"/>
  <c r="L366" i="1"/>
  <c r="N361" i="1"/>
  <c r="I269" i="1"/>
  <c r="I296" i="1"/>
  <c r="H362" i="1"/>
  <c r="J363" i="1"/>
  <c r="AP94" i="2"/>
  <c r="AP95" i="2"/>
  <c r="M140" i="2"/>
  <c r="AP85" i="2"/>
  <c r="AZ99" i="2"/>
  <c r="BR187" i="2"/>
  <c r="BH298" i="2"/>
  <c r="BJ139" i="2"/>
  <c r="BJ140" i="2"/>
  <c r="BS279" i="2"/>
  <c r="BS286" i="2"/>
  <c r="J139" i="2"/>
  <c r="AI44" i="2"/>
  <c r="AI45" i="2"/>
  <c r="F95" i="2"/>
  <c r="H139" i="2"/>
  <c r="T35" i="2"/>
  <c r="BC264" i="2"/>
  <c r="I265" i="2"/>
  <c r="U265" i="2"/>
  <c r="BR62" i="2"/>
  <c r="AN94" i="2"/>
  <c r="AN95" i="2"/>
  <c r="BA289" i="2"/>
  <c r="BA290" i="2"/>
  <c r="AS113" i="2"/>
  <c r="D270" i="2"/>
  <c r="D293" i="2"/>
  <c r="D294" i="2"/>
  <c r="P270" i="2"/>
  <c r="P293" i="2"/>
  <c r="P294" i="2"/>
  <c r="AZ38" i="2"/>
  <c r="AZ39" i="2"/>
  <c r="BR257" i="2"/>
  <c r="BI279" i="2"/>
  <c r="BK35" i="2"/>
  <c r="BK187" i="2"/>
  <c r="BL136" i="2"/>
  <c r="BM286" i="2"/>
  <c r="BM265" i="2"/>
  <c r="BN279" i="2"/>
  <c r="BQ284" i="2"/>
  <c r="P88" i="2"/>
  <c r="P89" i="2"/>
  <c r="AG121" i="2"/>
  <c r="E270" i="2"/>
  <c r="E289" i="2"/>
  <c r="E290" i="2"/>
  <c r="AO270" i="2"/>
  <c r="AO289" i="2"/>
  <c r="AO290" i="2"/>
  <c r="AZ282" i="2"/>
  <c r="AZ284" i="2"/>
  <c r="AN85" i="2"/>
  <c r="BF85" i="2"/>
  <c r="L113" i="2"/>
  <c r="AJ113" i="2"/>
  <c r="BG140" i="2"/>
  <c r="AH136" i="2"/>
  <c r="AT136" i="2"/>
  <c r="T264" i="2"/>
  <c r="AR264" i="2"/>
  <c r="L265" i="2"/>
  <c r="BH265" i="2"/>
  <c r="Y284" i="2"/>
  <c r="G284" i="2"/>
  <c r="AE284" i="2"/>
  <c r="BE284" i="2"/>
  <c r="BT262" i="2"/>
  <c r="BT264" i="2"/>
  <c r="K279" i="1"/>
  <c r="K284" i="1"/>
  <c r="F81" i="1"/>
  <c r="F182" i="1"/>
  <c r="J259" i="1"/>
  <c r="J261" i="1"/>
  <c r="O366" i="1"/>
  <c r="G182" i="1"/>
  <c r="G81" i="1"/>
  <c r="AZ148" i="2"/>
  <c r="AZ150" i="2"/>
  <c r="AS85" i="2"/>
  <c r="T270" i="2"/>
  <c r="AZ97" i="2"/>
  <c r="X145" i="2"/>
  <c r="T95" i="2"/>
  <c r="AW140" i="2"/>
  <c r="BS290" i="2"/>
  <c r="Q136" i="2"/>
  <c r="AZ93" i="2"/>
  <c r="AP265" i="2"/>
  <c r="AB293" i="2"/>
  <c r="AB294" i="2"/>
  <c r="AN270" i="2"/>
  <c r="AN293" i="2"/>
  <c r="AN294" i="2"/>
  <c r="BC293" i="2"/>
  <c r="BC294" i="2"/>
  <c r="BB12" i="2"/>
  <c r="T93" i="2"/>
  <c r="AG44" i="2"/>
  <c r="AG45" i="2"/>
  <c r="AE262" i="2"/>
  <c r="AZ283" i="2"/>
  <c r="AV262" i="2"/>
  <c r="AV266" i="2"/>
  <c r="K113" i="2"/>
  <c r="BL264" i="2"/>
  <c r="BR270" i="2"/>
  <c r="BR291" i="2"/>
  <c r="BR292" i="2"/>
  <c r="BJ136" i="2"/>
  <c r="AB264" i="2"/>
  <c r="AV139" i="2"/>
  <c r="AV140" i="2"/>
  <c r="AU139" i="2"/>
  <c r="AU140" i="2"/>
  <c r="AX262" i="2"/>
  <c r="Q38" i="2"/>
  <c r="Q39" i="2"/>
  <c r="AU12" i="2"/>
  <c r="BJ35" i="2"/>
  <c r="BM191" i="2"/>
  <c r="BO265" i="2"/>
  <c r="BT164" i="2"/>
  <c r="BU257" i="2"/>
  <c r="X276" i="2"/>
  <c r="X279" i="2"/>
  <c r="F151" i="2"/>
  <c r="F140" i="2"/>
  <c r="AQ93" i="2"/>
  <c r="T265" i="2"/>
  <c r="Z264" i="2"/>
  <c r="L145" i="2"/>
  <c r="L146" i="2"/>
  <c r="AT139" i="2"/>
  <c r="AZ88" i="2"/>
  <c r="AZ89" i="2"/>
  <c r="AV12" i="2"/>
  <c r="J145" i="2"/>
  <c r="T139" i="2"/>
  <c r="T140" i="2"/>
  <c r="R270" i="2"/>
  <c r="R295" i="2"/>
  <c r="Y262" i="2"/>
  <c r="Y274" i="2"/>
  <c r="BG298" i="2"/>
  <c r="BT75" i="2"/>
  <c r="BR262" i="2"/>
  <c r="BR274" i="2"/>
  <c r="BA273" i="2"/>
  <c r="J270" i="2"/>
  <c r="J293" i="2"/>
  <c r="J294" i="2"/>
  <c r="R88" i="2"/>
  <c r="R89" i="2"/>
  <c r="AX44" i="2"/>
  <c r="AX45" i="2"/>
  <c r="AW265" i="2"/>
  <c r="N284" i="2"/>
  <c r="BT85" i="2"/>
  <c r="BH85" i="2"/>
  <c r="G93" i="2"/>
  <c r="AY273" i="2"/>
  <c r="S265" i="2"/>
  <c r="AE270" i="2"/>
  <c r="R38" i="2"/>
  <c r="R39" i="2"/>
  <c r="AE94" i="2"/>
  <c r="AE95" i="2"/>
  <c r="H113" i="2"/>
  <c r="AF113" i="2"/>
  <c r="BT113" i="2"/>
  <c r="Z262" i="2"/>
  <c r="AC264" i="2"/>
  <c r="AZ279" i="2"/>
  <c r="F39" i="2"/>
  <c r="BK283" i="2"/>
  <c r="BK284" i="2"/>
  <c r="F88" i="2"/>
  <c r="F89" i="2"/>
  <c r="AU257" i="2"/>
  <c r="V35" i="2"/>
  <c r="AH113" i="2"/>
  <c r="BF113" i="2"/>
  <c r="U113" i="2"/>
  <c r="BE113" i="2"/>
  <c r="AD145" i="2"/>
  <c r="AZ187" i="2"/>
  <c r="BQ136" i="2"/>
  <c r="BN113" i="2"/>
  <c r="BR136" i="2"/>
  <c r="BS164" i="2"/>
  <c r="L270" i="2"/>
  <c r="L293" i="2"/>
  <c r="L294" i="2"/>
  <c r="AO93" i="2"/>
  <c r="BF12" i="2"/>
  <c r="AU35" i="2"/>
  <c r="AV264" i="2"/>
  <c r="P265" i="2"/>
  <c r="AN265" i="2"/>
  <c r="W284" i="2"/>
  <c r="AU284" i="2"/>
  <c r="BK298" i="2"/>
  <c r="BR265" i="2"/>
  <c r="BS272" i="2"/>
  <c r="O270" i="2"/>
  <c r="O293" i="2"/>
  <c r="O294" i="2"/>
  <c r="AM136" i="2"/>
  <c r="BJ113" i="2"/>
  <c r="BQ264" i="2"/>
  <c r="BT136" i="2"/>
  <c r="I262" i="2"/>
  <c r="I266" i="2"/>
  <c r="R289" i="2"/>
  <c r="R290" i="2"/>
  <c r="AJ277" i="2"/>
  <c r="J38" i="2"/>
  <c r="J39" i="2"/>
  <c r="AZ80" i="2"/>
  <c r="R93" i="2"/>
  <c r="D45" i="2"/>
  <c r="AM270" i="2"/>
  <c r="AM293" i="2"/>
  <c r="AM294" i="2"/>
  <c r="N264" i="2"/>
  <c r="F265" i="2"/>
  <c r="AD265" i="2"/>
  <c r="BL257" i="2"/>
  <c r="BS113" i="2"/>
  <c r="AK146" i="2"/>
  <c r="D94" i="2"/>
  <c r="D95" i="2"/>
  <c r="AR270" i="2"/>
  <c r="AR293" i="2"/>
  <c r="AR294" i="2"/>
  <c r="AA264" i="2"/>
  <c r="AE265" i="2"/>
  <c r="BO164" i="2"/>
  <c r="AT20" i="2"/>
  <c r="AT274" i="2"/>
  <c r="BC140" i="2"/>
  <c r="K139" i="2"/>
  <c r="K140" i="2"/>
  <c r="BE270" i="2"/>
  <c r="BE289" i="2"/>
  <c r="BE290" i="2"/>
  <c r="R95" i="2"/>
  <c r="J262" i="2"/>
  <c r="AD35" i="2"/>
  <c r="BU12" i="2"/>
  <c r="BU164" i="2"/>
  <c r="W140" i="2"/>
  <c r="BU262" i="2"/>
  <c r="BU274" i="2"/>
  <c r="AG262" i="2"/>
  <c r="BC93" i="2"/>
  <c r="S35" i="2"/>
  <c r="AE35" i="2"/>
  <c r="BE35" i="2"/>
  <c r="AF35" i="2"/>
  <c r="AT270" i="2"/>
  <c r="AT289" i="2"/>
  <c r="AT290" i="2"/>
  <c r="AM85" i="2"/>
  <c r="E89" i="2"/>
  <c r="BA99" i="2"/>
  <c r="AK113" i="2"/>
  <c r="AW136" i="2"/>
  <c r="BO279" i="2"/>
  <c r="AL265" i="2"/>
  <c r="BO190" i="2"/>
  <c r="BO191" i="2"/>
  <c r="U94" i="2"/>
  <c r="U95" i="2"/>
  <c r="AB277" i="2"/>
  <c r="AE151" i="2"/>
  <c r="AE140" i="2"/>
  <c r="BA62" i="2"/>
  <c r="G88" i="2"/>
  <c r="G89" i="2"/>
  <c r="BB85" i="2"/>
  <c r="S85" i="2"/>
  <c r="AD93" i="2"/>
  <c r="H136" i="2"/>
  <c r="BF136" i="2"/>
  <c r="BU298" i="2"/>
  <c r="BT286" i="2"/>
  <c r="BS35" i="2"/>
  <c r="J70" i="3"/>
  <c r="H31" i="3"/>
  <c r="H36" i="3"/>
  <c r="J31" i="3"/>
  <c r="J36" i="3"/>
  <c r="L69" i="3"/>
  <c r="L73" i="3"/>
  <c r="G67" i="3"/>
  <c r="G75" i="3"/>
  <c r="C36" i="3"/>
  <c r="I361" i="1"/>
  <c r="E81" i="1"/>
  <c r="I363" i="1"/>
  <c r="M361" i="1"/>
  <c r="F261" i="1"/>
  <c r="N279" i="1"/>
  <c r="N284" i="1"/>
  <c r="L365" i="1"/>
  <c r="P365" i="1"/>
  <c r="I31" i="1"/>
  <c r="J257" i="1"/>
  <c r="I362" i="1"/>
  <c r="K360" i="1"/>
  <c r="K324" i="1"/>
  <c r="K327" i="1"/>
  <c r="O31" i="1"/>
  <c r="P362" i="1"/>
  <c r="G261" i="1"/>
  <c r="K257" i="1"/>
  <c r="L257" i="1"/>
  <c r="I366" i="1"/>
  <c r="K363" i="1"/>
  <c r="P363" i="1"/>
  <c r="BG12" i="2"/>
  <c r="U276" i="2"/>
  <c r="H262" i="2"/>
  <c r="Z113" i="2"/>
  <c r="C12" i="2"/>
  <c r="AK262" i="2"/>
  <c r="AK274" i="2"/>
  <c r="BE93" i="2"/>
  <c r="S38" i="2"/>
  <c r="S39" i="2"/>
  <c r="AE70" i="2"/>
  <c r="AE274" i="2"/>
  <c r="AU70" i="2"/>
  <c r="Z89" i="2"/>
  <c r="AU89" i="2"/>
  <c r="AL85" i="2"/>
  <c r="AJ257" i="2"/>
  <c r="P264" i="2"/>
  <c r="AN264" i="2"/>
  <c r="H265" i="2"/>
  <c r="AF265" i="2"/>
  <c r="BD265" i="2"/>
  <c r="AM279" i="2"/>
  <c r="I284" i="2"/>
  <c r="O284" i="2"/>
  <c r="BI262" i="2"/>
  <c r="BI274" i="2"/>
  <c r="BJ257" i="2"/>
  <c r="BJ62" i="2"/>
  <c r="BN286" i="2"/>
  <c r="BO298" i="2"/>
  <c r="BR85" i="2"/>
  <c r="BO257" i="2"/>
  <c r="BR35" i="2"/>
  <c r="BT265" i="2"/>
  <c r="BS265" i="2"/>
  <c r="BT187" i="2"/>
  <c r="BE89" i="2"/>
  <c r="X270" i="2"/>
  <c r="BA140" i="2"/>
  <c r="AV146" i="2"/>
  <c r="AU270" i="2"/>
  <c r="AX121" i="2"/>
  <c r="AX274" i="2"/>
  <c r="BA93" i="2"/>
  <c r="M38" i="2"/>
  <c r="M39" i="2"/>
  <c r="W20" i="2"/>
  <c r="AW89" i="2"/>
  <c r="AR94" i="2"/>
  <c r="AR95" i="2"/>
  <c r="AB85" i="2"/>
  <c r="BA85" i="2"/>
  <c r="F264" i="2"/>
  <c r="BD264" i="2"/>
  <c r="V265" i="2"/>
  <c r="AT265" i="2"/>
  <c r="BA279" i="2"/>
  <c r="BI284" i="2"/>
  <c r="BK286" i="2"/>
  <c r="BL35" i="2"/>
  <c r="BP262" i="2"/>
  <c r="BP274" i="2"/>
  <c r="BQ38" i="2"/>
  <c r="BQ39" i="2"/>
  <c r="BS292" i="2"/>
  <c r="BS298" i="2"/>
  <c r="BJ298" i="2"/>
  <c r="BU113" i="2"/>
  <c r="M113" i="2"/>
  <c r="V44" i="2"/>
  <c r="V45" i="2"/>
  <c r="AC265" i="2"/>
  <c r="I270" i="2"/>
  <c r="I295" i="2"/>
  <c r="I296" i="2"/>
  <c r="BG144" i="2"/>
  <c r="C88" i="2"/>
  <c r="AF93" i="2"/>
  <c r="AT94" i="2"/>
  <c r="AT95" i="2"/>
  <c r="H85" i="2"/>
  <c r="AD85" i="2"/>
  <c r="H264" i="2"/>
  <c r="AF264" i="2"/>
  <c r="BF264" i="2"/>
  <c r="X265" i="2"/>
  <c r="AX279" i="2"/>
  <c r="BN62" i="2"/>
  <c r="BQ164" i="2"/>
  <c r="V270" i="2"/>
  <c r="V266" i="2"/>
  <c r="V293" i="2"/>
  <c r="V294" i="2"/>
  <c r="AI276" i="2"/>
  <c r="AI279" i="2"/>
  <c r="M145" i="2"/>
  <c r="M146" i="2"/>
  <c r="M88" i="2"/>
  <c r="M89" i="2"/>
  <c r="C264" i="2"/>
  <c r="AK276" i="2"/>
  <c r="AK279" i="2"/>
  <c r="N121" i="2"/>
  <c r="BG148" i="2"/>
  <c r="C62" i="2"/>
  <c r="AA270" i="2"/>
  <c r="AA289" i="2"/>
  <c r="AA290" i="2"/>
  <c r="BU279" i="2"/>
  <c r="BU286" i="2"/>
  <c r="BE12" i="2"/>
  <c r="M270" i="2"/>
  <c r="AI262" i="2"/>
  <c r="N262" i="2"/>
  <c r="BE97" i="2"/>
  <c r="AZ12" i="2"/>
  <c r="X85" i="2"/>
  <c r="V264" i="2"/>
  <c r="N265" i="2"/>
  <c r="AS279" i="2"/>
  <c r="AN279" i="2"/>
  <c r="BC279" i="2"/>
  <c r="BJ268" i="2"/>
  <c r="BJ264" i="2"/>
  <c r="BR215" i="2"/>
  <c r="BQ286" i="2"/>
  <c r="BU266" i="2"/>
  <c r="BU215" i="2"/>
  <c r="BE38" i="2"/>
  <c r="BE39" i="2"/>
  <c r="AK139" i="2"/>
  <c r="AK140" i="2"/>
  <c r="AJ121" i="2"/>
  <c r="AY264" i="2"/>
  <c r="BB168" i="2"/>
  <c r="AH276" i="2"/>
  <c r="AH279" i="2"/>
  <c r="W145" i="2"/>
  <c r="W146" i="2"/>
  <c r="L121" i="2"/>
  <c r="BC148" i="2"/>
  <c r="BC97" i="2"/>
  <c r="AI35" i="2"/>
  <c r="BH136" i="2"/>
  <c r="BO201" i="2"/>
  <c r="BR284" i="2"/>
  <c r="BS284" i="2"/>
  <c r="AK270" i="2"/>
  <c r="AJ262" i="2"/>
  <c r="O264" i="2"/>
  <c r="AM265" i="2"/>
  <c r="BE139" i="2"/>
  <c r="AE276" i="2"/>
  <c r="AE279" i="2"/>
  <c r="AE295" i="2"/>
  <c r="AE296" i="2"/>
  <c r="J121" i="2"/>
  <c r="J274" i="2"/>
  <c r="BA97" i="2"/>
  <c r="AJ35" i="2"/>
  <c r="AT85" i="2"/>
  <c r="AV85" i="2"/>
  <c r="X264" i="2"/>
  <c r="AU279" i="2"/>
  <c r="AP279" i="2"/>
  <c r="BE279" i="2"/>
  <c r="BF300" i="2"/>
  <c r="BJ164" i="2"/>
  <c r="BO193" i="2"/>
  <c r="AM146" i="2"/>
  <c r="BO289" i="2"/>
  <c r="BO290" i="2"/>
  <c r="R293" i="2"/>
  <c r="R294" i="2"/>
  <c r="BG20" i="2"/>
  <c r="X45" i="2"/>
  <c r="BG150" i="2"/>
  <c r="BB162" i="2"/>
  <c r="G265" i="2"/>
  <c r="V276" i="2"/>
  <c r="V279" i="2"/>
  <c r="BC262" i="2"/>
  <c r="BC266" i="2"/>
  <c r="BC274" i="2"/>
  <c r="BH113" i="2"/>
  <c r="AH121" i="2"/>
  <c r="AA95" i="2"/>
  <c r="AU85" i="2"/>
  <c r="BJ282" i="2"/>
  <c r="BR164" i="2"/>
  <c r="AW44" i="2"/>
  <c r="AW45" i="2"/>
  <c r="BJ38" i="2"/>
  <c r="BJ39" i="2"/>
  <c r="BA89" i="2"/>
  <c r="AF140" i="2"/>
  <c r="E265" i="2"/>
  <c r="AU262" i="2"/>
  <c r="AH262" i="2"/>
  <c r="AH274" i="2"/>
  <c r="AB257" i="2"/>
  <c r="AL264" i="2"/>
  <c r="BB265" i="2"/>
  <c r="BD279" i="2"/>
  <c r="AT279" i="2"/>
  <c r="BI62" i="2"/>
  <c r="BL286" i="2"/>
  <c r="BO88" i="2"/>
  <c r="BO89" i="2"/>
  <c r="BS62" i="2"/>
  <c r="C284" i="2"/>
  <c r="AQ284" i="2"/>
  <c r="AV298" i="2"/>
  <c r="AV300" i="2"/>
  <c r="BP192" i="2"/>
  <c r="BP193" i="2"/>
  <c r="BP164" i="2"/>
  <c r="J267" i="1"/>
  <c r="J269" i="1"/>
  <c r="J296" i="1"/>
  <c r="J16" i="1"/>
  <c r="J43" i="1"/>
  <c r="AF75" i="2"/>
  <c r="AF94" i="2"/>
  <c r="AF95" i="2"/>
  <c r="BQ113" i="2"/>
  <c r="H88" i="2"/>
  <c r="H89" i="2"/>
  <c r="BP190" i="2"/>
  <c r="BP191" i="2"/>
  <c r="BJ88" i="2"/>
  <c r="BJ89" i="2"/>
  <c r="AR44" i="2"/>
  <c r="AR45" i="2"/>
  <c r="AR20" i="2"/>
  <c r="AZ262" i="2"/>
  <c r="AZ266" i="2"/>
  <c r="G44" i="2"/>
  <c r="G45" i="2"/>
  <c r="G38" i="2"/>
  <c r="G39" i="2"/>
  <c r="G270" i="2"/>
  <c r="V113" i="2"/>
  <c r="V262" i="2"/>
  <c r="V274" i="2"/>
  <c r="V121" i="2"/>
  <c r="AL113" i="2"/>
  <c r="AT113" i="2"/>
  <c r="AT262" i="2"/>
  <c r="AT266" i="2"/>
  <c r="AT121" i="2"/>
  <c r="BB262" i="2"/>
  <c r="BB121" i="2"/>
  <c r="I145" i="2"/>
  <c r="I139" i="2"/>
  <c r="I113" i="2"/>
  <c r="Q270" i="2"/>
  <c r="Q289" i="2"/>
  <c r="Q290" i="2"/>
  <c r="Q293" i="2"/>
  <c r="Q294" i="2"/>
  <c r="Q145" i="2"/>
  <c r="Q146" i="2"/>
  <c r="Q139" i="2"/>
  <c r="Q140" i="2"/>
  <c r="Y113" i="2"/>
  <c r="Y270" i="2"/>
  <c r="Y293" i="2"/>
  <c r="Y294" i="2"/>
  <c r="Y139" i="2"/>
  <c r="AG270" i="2"/>
  <c r="AG295" i="2"/>
  <c r="AG296" i="2"/>
  <c r="AG266" i="2"/>
  <c r="AG139" i="2"/>
  <c r="AO139" i="2"/>
  <c r="AO140" i="2"/>
  <c r="AO113" i="2"/>
  <c r="AW113" i="2"/>
  <c r="AW270" i="2"/>
  <c r="AW293" i="2"/>
  <c r="AW294" i="2"/>
  <c r="Y126" i="2"/>
  <c r="Y145" i="2"/>
  <c r="Y276" i="2"/>
  <c r="Y279" i="2"/>
  <c r="Y295" i="2"/>
  <c r="Y296" i="2"/>
  <c r="AO145" i="2"/>
  <c r="AO146" i="2"/>
  <c r="AW145" i="2"/>
  <c r="AW146" i="2"/>
  <c r="AO273" i="2"/>
  <c r="AO265" i="2"/>
  <c r="D272" i="2"/>
  <c r="D264" i="2"/>
  <c r="AR38" i="2"/>
  <c r="AR39" i="2"/>
  <c r="BD282" i="2"/>
  <c r="BD289" i="2"/>
  <c r="BD290" i="2"/>
  <c r="BD80" i="2"/>
  <c r="BD85" i="2"/>
  <c r="D151" i="2"/>
  <c r="D144" i="2"/>
  <c r="D93" i="2"/>
  <c r="G121" i="2"/>
  <c r="G274" i="2"/>
  <c r="G262" i="2"/>
  <c r="AV265" i="2"/>
  <c r="U284" i="2"/>
  <c r="AS284" i="2"/>
  <c r="P360" i="1"/>
  <c r="BH62" i="2"/>
  <c r="BL265" i="2"/>
  <c r="BP270" i="2"/>
  <c r="AF277" i="2"/>
  <c r="BA20" i="2"/>
  <c r="BA12" i="2"/>
  <c r="I44" i="2"/>
  <c r="I45" i="2"/>
  <c r="I38" i="2"/>
  <c r="I39" i="2"/>
  <c r="W44" i="2"/>
  <c r="W45" i="2"/>
  <c r="P70" i="2"/>
  <c r="P262" i="2"/>
  <c r="P266" i="2"/>
  <c r="AO88" i="2"/>
  <c r="AO89" i="2"/>
  <c r="AO94" i="2"/>
  <c r="AO95" i="2"/>
  <c r="AV88" i="2"/>
  <c r="AV89" i="2"/>
  <c r="AV62" i="2"/>
  <c r="BD62" i="2"/>
  <c r="BD270" i="2"/>
  <c r="BD293" i="2"/>
  <c r="BD294" i="2"/>
  <c r="AG75" i="2"/>
  <c r="AG94" i="2"/>
  <c r="AG95" i="2"/>
  <c r="AG276" i="2"/>
  <c r="AG279" i="2"/>
  <c r="AR151" i="2"/>
  <c r="AR144" i="2"/>
  <c r="AR93" i="2"/>
  <c r="X262" i="2"/>
  <c r="X121" i="2"/>
  <c r="X113" i="2"/>
  <c r="AF121" i="2"/>
  <c r="AN113" i="2"/>
  <c r="AN121" i="2"/>
  <c r="AN274" i="2"/>
  <c r="AV113" i="2"/>
  <c r="AV121" i="2"/>
  <c r="BD113" i="2"/>
  <c r="C145" i="2"/>
  <c r="C139" i="2"/>
  <c r="C140" i="2"/>
  <c r="C113" i="2"/>
  <c r="C270" i="2"/>
  <c r="K145" i="2"/>
  <c r="K146" i="2"/>
  <c r="S113" i="2"/>
  <c r="S145" i="2"/>
  <c r="S146" i="2"/>
  <c r="AI113" i="2"/>
  <c r="AI270" i="2"/>
  <c r="AI139" i="2"/>
  <c r="AI140" i="2"/>
  <c r="AQ145" i="2"/>
  <c r="AQ146" i="2"/>
  <c r="AQ113" i="2"/>
  <c r="AQ270" i="2"/>
  <c r="AQ289" i="2"/>
  <c r="AQ290" i="2"/>
  <c r="AQ139" i="2"/>
  <c r="AY270" i="2"/>
  <c r="AY266" i="2"/>
  <c r="AY139" i="2"/>
  <c r="BG113" i="2"/>
  <c r="BG293" i="2"/>
  <c r="BG294" i="2"/>
  <c r="AJ265" i="2"/>
  <c r="AJ273" i="2"/>
  <c r="AQ273" i="2"/>
  <c r="AQ265" i="2"/>
  <c r="BN270" i="2"/>
  <c r="BN289" i="2"/>
  <c r="BN290" i="2"/>
  <c r="AC284" i="2"/>
  <c r="BB284" i="2"/>
  <c r="AM284" i="2"/>
  <c r="AM144" i="2"/>
  <c r="AZ162" i="2"/>
  <c r="G295" i="2"/>
  <c r="G296" i="2"/>
  <c r="H270" i="2"/>
  <c r="U270" i="2"/>
  <c r="U266" i="2"/>
  <c r="E30" i="2"/>
  <c r="E35" i="2"/>
  <c r="E283" i="2"/>
  <c r="N151" i="2"/>
  <c r="N93" i="2"/>
  <c r="BA148" i="2"/>
  <c r="BA202" i="2"/>
  <c r="BA201" i="2"/>
  <c r="BA144" i="2"/>
  <c r="Q121" i="2"/>
  <c r="D284" i="1"/>
  <c r="BJ97" i="2"/>
  <c r="BJ93" i="2"/>
  <c r="BJ99" i="2"/>
  <c r="BO262" i="2"/>
  <c r="BO274" i="2"/>
  <c r="BU264" i="2"/>
  <c r="K70" i="3"/>
  <c r="K73" i="3"/>
  <c r="K67" i="3"/>
  <c r="K75" i="3"/>
  <c r="BT282" i="2"/>
  <c r="BT284" i="2"/>
  <c r="BT233" i="2"/>
  <c r="BT238" i="2"/>
  <c r="AY151" i="2"/>
  <c r="AY93" i="2"/>
  <c r="AX273" i="2"/>
  <c r="AX265" i="2"/>
  <c r="BI12" i="2"/>
  <c r="BH270" i="2"/>
  <c r="BH289" i="2"/>
  <c r="BH290" i="2"/>
  <c r="BH293" i="2"/>
  <c r="BH294" i="2"/>
  <c r="AZ270" i="2"/>
  <c r="N38" i="2"/>
  <c r="N39" i="2"/>
  <c r="BD88" i="2"/>
  <c r="BC35" i="2"/>
  <c r="AV257" i="2"/>
  <c r="R70" i="2"/>
  <c r="R262" i="2"/>
  <c r="R266" i="2"/>
  <c r="AJ88" i="2"/>
  <c r="AJ89" i="2"/>
  <c r="AJ270" i="2"/>
  <c r="AQ88" i="2"/>
  <c r="AQ89" i="2"/>
  <c r="AQ94" i="2"/>
  <c r="AQ95" i="2"/>
  <c r="AX88" i="2"/>
  <c r="AX89" i="2"/>
  <c r="AX266" i="2"/>
  <c r="AX94" i="2"/>
  <c r="AX95" i="2"/>
  <c r="AX62" i="2"/>
  <c r="BF88" i="2"/>
  <c r="BF89" i="2"/>
  <c r="BF270" i="2"/>
  <c r="BF293" i="2"/>
  <c r="BF294" i="2"/>
  <c r="AL151" i="2"/>
  <c r="AL89" i="2"/>
  <c r="I272" i="2"/>
  <c r="I264" i="2"/>
  <c r="Q272" i="2"/>
  <c r="Q264" i="2"/>
  <c r="Y272" i="2"/>
  <c r="Y264" i="2"/>
  <c r="AG272" i="2"/>
  <c r="AG264" i="2"/>
  <c r="G296" i="1"/>
  <c r="I67" i="3"/>
  <c r="I75" i="3"/>
  <c r="I70" i="3"/>
  <c r="I73" i="3"/>
  <c r="W75" i="2"/>
  <c r="W94" i="2"/>
  <c r="W95" i="2"/>
  <c r="W276" i="2"/>
  <c r="W279" i="2"/>
  <c r="W295" i="2"/>
  <c r="W296" i="2"/>
  <c r="O262" i="2"/>
  <c r="O121" i="2"/>
  <c r="AI273" i="2"/>
  <c r="AI265" i="2"/>
  <c r="BH164" i="2"/>
  <c r="AZ190" i="2"/>
  <c r="M284" i="2"/>
  <c r="AP38" i="2"/>
  <c r="AP39" i="2"/>
  <c r="AP270" i="2"/>
  <c r="AP289" i="2"/>
  <c r="AP290" i="2"/>
  <c r="AP44" i="2"/>
  <c r="AP45" i="2"/>
  <c r="BD30" i="2"/>
  <c r="BD35" i="2"/>
  <c r="BD283" i="2"/>
  <c r="H151" i="2"/>
  <c r="H144" i="2"/>
  <c r="H93" i="2"/>
  <c r="P151" i="2"/>
  <c r="P140" i="2"/>
  <c r="P93" i="2"/>
  <c r="X151" i="2"/>
  <c r="X144" i="2"/>
  <c r="X93" i="2"/>
  <c r="J151" i="2"/>
  <c r="J144" i="2"/>
  <c r="J93" i="2"/>
  <c r="P44" i="2"/>
  <c r="P45" i="2"/>
  <c r="P38" i="2"/>
  <c r="P39" i="2"/>
  <c r="BF273" i="2"/>
  <c r="BF265" i="2"/>
  <c r="AV279" i="2"/>
  <c r="AK284" i="2"/>
  <c r="BI97" i="2"/>
  <c r="AZ268" i="2"/>
  <c r="AZ264" i="2"/>
  <c r="BJ270" i="2"/>
  <c r="BQ262" i="2"/>
  <c r="BQ274" i="2"/>
  <c r="BQ270" i="2"/>
  <c r="BQ266" i="2"/>
  <c r="BH262" i="2"/>
  <c r="O88" i="2"/>
  <c r="O89" i="2"/>
  <c r="O94" i="2"/>
  <c r="O95" i="2"/>
  <c r="W88" i="2"/>
  <c r="W89" i="2"/>
  <c r="W270" i="2"/>
  <c r="W289" i="2"/>
  <c r="W290" i="2"/>
  <c r="BA160" i="2"/>
  <c r="BA164" i="2"/>
  <c r="BA162" i="2"/>
  <c r="BA260" i="2"/>
  <c r="BA264" i="2"/>
  <c r="AP272" i="2"/>
  <c r="AP264" i="2"/>
  <c r="AW272" i="2"/>
  <c r="AW264" i="2"/>
  <c r="BS192" i="2"/>
  <c r="BS193" i="2"/>
  <c r="BS270" i="2"/>
  <c r="BS243" i="2"/>
  <c r="BS244" i="2"/>
  <c r="BS215" i="2"/>
  <c r="BT90" i="2"/>
  <c r="BT91" i="2"/>
  <c r="BT62" i="2"/>
  <c r="BT270" i="2"/>
  <c r="BT266" i="2"/>
  <c r="AG145" i="2"/>
  <c r="AO44" i="2"/>
  <c r="AO45" i="2"/>
  <c r="AZ30" i="2"/>
  <c r="AZ35" i="2"/>
  <c r="AQ35" i="2"/>
  <c r="V89" i="2"/>
  <c r="E284" i="1"/>
  <c r="BP284" i="2"/>
  <c r="BQ279" i="2"/>
  <c r="F360" i="1"/>
  <c r="M363" i="1"/>
  <c r="N363" i="1"/>
  <c r="O257" i="1"/>
  <c r="AB94" i="2"/>
  <c r="AB95" i="2"/>
  <c r="R296" i="2"/>
  <c r="AK89" i="2"/>
  <c r="AH94" i="2"/>
  <c r="AH95" i="2"/>
  <c r="W85" i="2"/>
  <c r="L136" i="2"/>
  <c r="BK191" i="2"/>
  <c r="G290" i="1"/>
  <c r="M279" i="1"/>
  <c r="M284" i="1"/>
  <c r="M257" i="1"/>
  <c r="F362" i="1"/>
  <c r="E140" i="2"/>
  <c r="U44" i="2"/>
  <c r="U45" i="2"/>
  <c r="AI94" i="2"/>
  <c r="AI95" i="2"/>
  <c r="BA113" i="2"/>
  <c r="AR136" i="2"/>
  <c r="BL85" i="2"/>
  <c r="BN139" i="2"/>
  <c r="BN140" i="2"/>
  <c r="BS262" i="2"/>
  <c r="BS274" i="2"/>
  <c r="BT215" i="2"/>
  <c r="E69" i="3"/>
  <c r="E73" i="3"/>
  <c r="G363" i="1"/>
  <c r="I314" i="1"/>
  <c r="I317" i="1"/>
  <c r="O324" i="1"/>
  <c r="O327" i="1"/>
  <c r="M295" i="2"/>
  <c r="M296" i="2"/>
  <c r="L140" i="2"/>
  <c r="AT35" i="2"/>
  <c r="U35" i="2"/>
  <c r="Y85" i="2"/>
  <c r="I261" i="1"/>
  <c r="L131" i="1"/>
  <c r="L290" i="1"/>
  <c r="G69" i="3"/>
  <c r="G73" i="3"/>
  <c r="G365" i="1"/>
  <c r="O279" i="1"/>
  <c r="O284" i="1"/>
  <c r="L67" i="3"/>
  <c r="E44" i="2"/>
  <c r="E45" i="2"/>
  <c r="AH257" i="2"/>
  <c r="G113" i="2"/>
  <c r="O113" i="2"/>
  <c r="W113" i="2"/>
  <c r="AE113" i="2"/>
  <c r="AM113" i="2"/>
  <c r="AU113" i="2"/>
  <c r="BI35" i="2"/>
  <c r="H269" i="1"/>
  <c r="H296" i="1"/>
  <c r="BN264" i="2"/>
  <c r="BQ187" i="2"/>
  <c r="M182" i="1"/>
  <c r="H363" i="1"/>
  <c r="K362" i="1"/>
  <c r="N360" i="1"/>
  <c r="V140" i="2"/>
  <c r="V95" i="2"/>
  <c r="Y35" i="2"/>
  <c r="AV35" i="2"/>
  <c r="BG35" i="2"/>
  <c r="BI85" i="2"/>
  <c r="BK265" i="2"/>
  <c r="G284" i="1"/>
  <c r="BM113" i="2"/>
  <c r="L269" i="1"/>
  <c r="L296" i="1"/>
  <c r="H69" i="3"/>
  <c r="G324" i="1"/>
  <c r="G327" i="1"/>
  <c r="N269" i="1"/>
  <c r="K261" i="1"/>
  <c r="P261" i="1"/>
  <c r="O269" i="1"/>
  <c r="K269" i="1"/>
  <c r="K296" i="1"/>
  <c r="L261" i="1"/>
  <c r="N261" i="1"/>
  <c r="O290" i="1"/>
  <c r="O137" i="1"/>
  <c r="N290" i="1"/>
  <c r="N324" i="1"/>
  <c r="N327" i="1"/>
  <c r="I324" i="1"/>
  <c r="I327" i="1"/>
  <c r="J314" i="1"/>
  <c r="J317" i="1"/>
  <c r="K365" i="1"/>
  <c r="L360" i="1"/>
  <c r="N314" i="1"/>
  <c r="N317" i="1"/>
  <c r="M314" i="1"/>
  <c r="M317" i="1"/>
  <c r="F324" i="1"/>
  <c r="F327" i="1"/>
  <c r="H365" i="1"/>
  <c r="N182" i="1"/>
  <c r="N257" i="1"/>
  <c r="F314" i="1"/>
  <c r="F317" i="1"/>
  <c r="J366" i="1"/>
  <c r="K366" i="1"/>
  <c r="L361" i="1"/>
  <c r="M366" i="1"/>
  <c r="K361" i="1"/>
  <c r="N366" i="1"/>
  <c r="M324" i="1"/>
  <c r="M327" i="1"/>
  <c r="P290" i="1"/>
  <c r="L182" i="1"/>
  <c r="O58" i="1"/>
  <c r="O70" i="1"/>
  <c r="F365" i="1"/>
  <c r="H366" i="1"/>
  <c r="O131" i="1"/>
  <c r="J324" i="1"/>
  <c r="J327" i="1"/>
  <c r="J288" i="1"/>
  <c r="J290" i="1"/>
  <c r="F366" i="1"/>
  <c r="H324" i="1"/>
  <c r="H327" i="1"/>
  <c r="O362" i="1"/>
  <c r="P366" i="1"/>
  <c r="AU38" i="2"/>
  <c r="AU39" i="2"/>
  <c r="AU44" i="2"/>
  <c r="AU45" i="2"/>
  <c r="BC144" i="2"/>
  <c r="BC202" i="2"/>
  <c r="AR289" i="2"/>
  <c r="AR290" i="2"/>
  <c r="AW262" i="2"/>
  <c r="AV44" i="2"/>
  <c r="AV45" i="2"/>
  <c r="AV38" i="2"/>
  <c r="AV39" i="2"/>
  <c r="BC38" i="2"/>
  <c r="BC39" i="2"/>
  <c r="BC12" i="2"/>
  <c r="S94" i="2"/>
  <c r="S95" i="2"/>
  <c r="S88" i="2"/>
  <c r="S89" i="2"/>
  <c r="AM88" i="2"/>
  <c r="AM89" i="2"/>
  <c r="AM94" i="2"/>
  <c r="AM95" i="2"/>
  <c r="AT88" i="2"/>
  <c r="AT89" i="2"/>
  <c r="AT62" i="2"/>
  <c r="BB88" i="2"/>
  <c r="BB89" i="2"/>
  <c r="BB62" i="2"/>
  <c r="AB151" i="2"/>
  <c r="AB144" i="2"/>
  <c r="AB93" i="2"/>
  <c r="AP151" i="2"/>
  <c r="AP146" i="2"/>
  <c r="AP144" i="2"/>
  <c r="AP93" i="2"/>
  <c r="AZ131" i="2"/>
  <c r="AZ136" i="2"/>
  <c r="T44" i="2"/>
  <c r="T45" i="2"/>
  <c r="T38" i="2"/>
  <c r="T39" i="2"/>
  <c r="U151" i="2"/>
  <c r="U144" i="2"/>
  <c r="U93" i="2"/>
  <c r="AJ93" i="2"/>
  <c r="AJ151" i="2"/>
  <c r="AJ144" i="2"/>
  <c r="F113" i="2"/>
  <c r="BT274" i="2"/>
  <c r="BF62" i="2"/>
  <c r="BF70" i="2"/>
  <c r="BF151" i="2"/>
  <c r="BF93" i="2"/>
  <c r="BF97" i="2"/>
  <c r="AD113" i="2"/>
  <c r="AD262" i="2"/>
  <c r="BF190" i="2"/>
  <c r="BF164" i="2"/>
  <c r="I31" i="3"/>
  <c r="I36" i="3"/>
  <c r="AM262" i="2"/>
  <c r="AC276" i="2"/>
  <c r="AC279" i="2"/>
  <c r="AS20" i="2"/>
  <c r="AS12" i="2"/>
  <c r="O44" i="2"/>
  <c r="O45" i="2"/>
  <c r="O38" i="2"/>
  <c r="O39" i="2"/>
  <c r="C151" i="2"/>
  <c r="C93" i="2"/>
  <c r="I151" i="2"/>
  <c r="I93" i="2"/>
  <c r="O151" i="2"/>
  <c r="O93" i="2"/>
  <c r="BE202" i="2"/>
  <c r="BE201" i="2"/>
  <c r="AT151" i="2"/>
  <c r="AT93" i="2"/>
  <c r="BH38" i="2"/>
  <c r="BH39" i="2"/>
  <c r="BH12" i="2"/>
  <c r="AA25" i="2"/>
  <c r="AA44" i="2"/>
  <c r="AA45" i="2"/>
  <c r="AA276" i="2"/>
  <c r="AA279" i="2"/>
  <c r="AA295" i="2"/>
  <c r="AA296" i="2"/>
  <c r="AD277" i="2"/>
  <c r="AD22" i="2"/>
  <c r="P295" i="2"/>
  <c r="P296" i="2"/>
  <c r="BB190" i="2"/>
  <c r="AN262" i="2"/>
  <c r="AN20" i="2"/>
  <c r="D70" i="2"/>
  <c r="D274" i="2"/>
  <c r="D262" i="2"/>
  <c r="L70" i="2"/>
  <c r="L262" i="2"/>
  <c r="L266" i="2"/>
  <c r="T70" i="2"/>
  <c r="Q94" i="2"/>
  <c r="Q95" i="2"/>
  <c r="Q88" i="2"/>
  <c r="Q89" i="2"/>
  <c r="Y94" i="2"/>
  <c r="Y95" i="2"/>
  <c r="Y88" i="2"/>
  <c r="Y89" i="2"/>
  <c r="AN151" i="2"/>
  <c r="AN144" i="2"/>
  <c r="AN93" i="2"/>
  <c r="BB151" i="2"/>
  <c r="BB93" i="2"/>
  <c r="BB99" i="2"/>
  <c r="BB97" i="2"/>
  <c r="X35" i="2"/>
  <c r="I35" i="2"/>
  <c r="E94" i="2"/>
  <c r="E95" i="2"/>
  <c r="BC89" i="2"/>
  <c r="T136" i="2"/>
  <c r="F131" i="1"/>
  <c r="BS12" i="2"/>
  <c r="BT12" i="2"/>
  <c r="O314" i="1"/>
  <c r="O317" i="1"/>
  <c r="H314" i="1"/>
  <c r="H317" i="1"/>
  <c r="F363" i="1"/>
  <c r="L324" i="1"/>
  <c r="L327" i="1"/>
  <c r="H70" i="3"/>
  <c r="G360" i="1"/>
  <c r="K284" i="2"/>
  <c r="S284" i="2"/>
  <c r="AA284" i="2"/>
  <c r="AI284" i="2"/>
  <c r="BM164" i="2"/>
  <c r="BS257" i="2"/>
  <c r="G362" i="1"/>
  <c r="J365" i="1"/>
  <c r="M365" i="1"/>
  <c r="O365" i="1"/>
  <c r="C89" i="2"/>
  <c r="AC44" i="2"/>
  <c r="AC45" i="2"/>
  <c r="AP89" i="2"/>
  <c r="P85" i="2"/>
  <c r="V136" i="2"/>
  <c r="BI151" i="2"/>
  <c r="BI144" i="2"/>
  <c r="BL298" i="2"/>
  <c r="BL284" i="2"/>
  <c r="O81" i="1"/>
  <c r="G314" i="1"/>
  <c r="G317" i="1"/>
  <c r="D70" i="3"/>
  <c r="D73" i="3"/>
  <c r="I360" i="1"/>
  <c r="BV142" i="2"/>
  <c r="BV113" i="2"/>
  <c r="BV300" i="2"/>
  <c r="BV298" i="2"/>
  <c r="U89" i="2"/>
  <c r="AR89" i="2"/>
  <c r="AG85" i="2"/>
  <c r="AO85" i="2"/>
  <c r="J136" i="2"/>
  <c r="BP12" i="2"/>
  <c r="BO62" i="2"/>
  <c r="BQ85" i="2"/>
  <c r="L314" i="1"/>
  <c r="L317" i="1"/>
  <c r="G366" i="1"/>
  <c r="H361" i="1"/>
  <c r="C38" i="2"/>
  <c r="C39" i="2"/>
  <c r="BE262" i="2"/>
  <c r="BE266" i="2"/>
  <c r="AK35" i="2"/>
  <c r="T85" i="2"/>
  <c r="AE85" i="2"/>
  <c r="BK264" i="2"/>
  <c r="BL187" i="2"/>
  <c r="BP279" i="2"/>
  <c r="N131" i="1"/>
  <c r="K314" i="1"/>
  <c r="K317" i="1"/>
  <c r="F361" i="1"/>
  <c r="F69" i="3"/>
  <c r="F73" i="3"/>
  <c r="H360" i="1"/>
  <c r="J362" i="1"/>
  <c r="I365" i="1"/>
  <c r="J360" i="1"/>
  <c r="M360" i="1"/>
  <c r="N362" i="1"/>
  <c r="O360" i="1"/>
  <c r="P324" i="1"/>
  <c r="P327" i="1"/>
  <c r="BB35" i="2"/>
  <c r="AY85" i="2"/>
  <c r="R136" i="2"/>
  <c r="AO136" i="2"/>
  <c r="AY279" i="2"/>
  <c r="BG279" i="2"/>
  <c r="BI89" i="2"/>
  <c r="BP113" i="2"/>
  <c r="F67" i="3"/>
  <c r="F75" i="3"/>
  <c r="BI99" i="2"/>
  <c r="M31" i="3"/>
  <c r="M36" i="3"/>
  <c r="BV244" i="2"/>
  <c r="BV215" i="2"/>
  <c r="BV193" i="2"/>
  <c r="BV164" i="2"/>
  <c r="BV265" i="2"/>
  <c r="BV91" i="2"/>
  <c r="BV62" i="2"/>
  <c r="BV262" i="2"/>
  <c r="BV274" i="2"/>
  <c r="L31" i="3"/>
  <c r="L36" i="3"/>
  <c r="BV290" i="2"/>
  <c r="BV140" i="2"/>
  <c r="Q290" i="1"/>
  <c r="Q279" i="1"/>
  <c r="Q284" i="1"/>
  <c r="P279" i="1"/>
  <c r="P284" i="1"/>
  <c r="BG201" i="2"/>
  <c r="BG199" i="2"/>
  <c r="BG191" i="2"/>
  <c r="BG195" i="2"/>
  <c r="AX12" i="2"/>
  <c r="AX38" i="2"/>
  <c r="AX39" i="2"/>
  <c r="H293" i="2"/>
  <c r="H294" i="2"/>
  <c r="BE293" i="2"/>
  <c r="BE294" i="2"/>
  <c r="L295" i="2"/>
  <c r="L296" i="2"/>
  <c r="AI274" i="2"/>
  <c r="AQ140" i="2"/>
  <c r="AM140" i="2"/>
  <c r="AN44" i="2"/>
  <c r="AN45" i="2"/>
  <c r="AP35" i="2"/>
  <c r="AX35" i="2"/>
  <c r="P95" i="2"/>
  <c r="AY89" i="2"/>
  <c r="BG187" i="2"/>
  <c r="BB279" i="2"/>
  <c r="BI265" i="2"/>
  <c r="AH44" i="2"/>
  <c r="AH45" i="2"/>
  <c r="AB44" i="2"/>
  <c r="AB45" i="2"/>
  <c r="BH35" i="2"/>
  <c r="J85" i="2"/>
  <c r="AW85" i="2"/>
  <c r="BG85" i="2"/>
  <c r="BJ262" i="2"/>
  <c r="BJ266" i="2"/>
  <c r="BJ274" i="2"/>
  <c r="BN12" i="2"/>
  <c r="BJ286" i="2"/>
  <c r="BM264" i="2"/>
  <c r="BN38" i="2"/>
  <c r="BN39" i="2"/>
  <c r="BQ215" i="2"/>
  <c r="Y44" i="2"/>
  <c r="Y45" i="2"/>
  <c r="AE44" i="2"/>
  <c r="AE45" i="2"/>
  <c r="AH35" i="2"/>
  <c r="AL35" i="2"/>
  <c r="AJ136" i="2"/>
  <c r="BK262" i="2"/>
  <c r="BK274" i="2"/>
  <c r="BK270" i="2"/>
  <c r="BK289" i="2"/>
  <c r="BK290" i="2"/>
  <c r="BM284" i="2"/>
  <c r="BN164" i="2"/>
  <c r="BR279" i="2"/>
  <c r="BR286" i="2"/>
  <c r="BV264" i="2"/>
  <c r="BU284" i="2"/>
  <c r="BV284" i="2"/>
  <c r="BV279" i="2"/>
  <c r="BV286" i="2"/>
  <c r="BV270" i="2"/>
  <c r="BV12" i="2"/>
  <c r="BV41" i="2"/>
  <c r="T295" i="2"/>
  <c r="T296" i="2"/>
  <c r="L289" i="2"/>
  <c r="L290" i="2"/>
  <c r="P289" i="2"/>
  <c r="P290" i="2"/>
  <c r="AE144" i="2"/>
  <c r="BM274" i="2"/>
  <c r="AW62" i="2"/>
  <c r="AB276" i="2"/>
  <c r="AB279" i="2"/>
  <c r="AB295" i="2"/>
  <c r="AB296" i="2"/>
  <c r="BJ151" i="2"/>
  <c r="E171" i="1"/>
  <c r="BB300" i="2"/>
  <c r="J69" i="3"/>
  <c r="J73" i="3"/>
  <c r="E67" i="3"/>
  <c r="E75" i="3"/>
  <c r="D67" i="3"/>
  <c r="D75" i="3"/>
  <c r="P257" i="1"/>
  <c r="P314" i="1"/>
  <c r="P317" i="1"/>
  <c r="Q376" i="1"/>
  <c r="M362" i="1"/>
  <c r="H73" i="3"/>
  <c r="Y140" i="2"/>
  <c r="AA266" i="2"/>
  <c r="Y146" i="2"/>
  <c r="AB289" i="2"/>
  <c r="AB290" i="2"/>
  <c r="BJ289" i="2"/>
  <c r="BJ290" i="2"/>
  <c r="P364" i="1"/>
  <c r="P372" i="1"/>
  <c r="I364" i="1"/>
  <c r="I375" i="1"/>
  <c r="N364" i="1"/>
  <c r="N373" i="1"/>
  <c r="F364" i="1"/>
  <c r="F372" i="1"/>
  <c r="BL293" i="2"/>
  <c r="BL294" i="2"/>
  <c r="AI295" i="2"/>
  <c r="AI296" i="2"/>
  <c r="BD148" i="2"/>
  <c r="O289" i="2"/>
  <c r="O290" i="2"/>
  <c r="O295" i="2"/>
  <c r="O296" i="2"/>
  <c r="O266" i="2"/>
  <c r="BB264" i="2"/>
  <c r="D289" i="2"/>
  <c r="D290" i="2"/>
  <c r="P146" i="2"/>
  <c r="D266" i="2"/>
  <c r="BJ293" i="2"/>
  <c r="BJ294" i="2"/>
  <c r="AE146" i="2"/>
  <c r="BJ284" i="2"/>
  <c r="AR295" i="2"/>
  <c r="AR296" i="2"/>
  <c r="BH144" i="2"/>
  <c r="AF293" i="2"/>
  <c r="AF294" i="2"/>
  <c r="BB274" i="2"/>
  <c r="X295" i="2"/>
  <c r="X296" i="2"/>
  <c r="BH199" i="2"/>
  <c r="AW266" i="2"/>
  <c r="BH191" i="2"/>
  <c r="AP274" i="2"/>
  <c r="W274" i="2"/>
  <c r="BH140" i="2"/>
  <c r="BH201" i="2"/>
  <c r="BH150" i="2"/>
  <c r="X146" i="2"/>
  <c r="BL266" i="2"/>
  <c r="J266" i="2"/>
  <c r="BH148" i="2"/>
  <c r="AO293" i="2"/>
  <c r="AO294" i="2"/>
  <c r="BC289" i="2"/>
  <c r="BC290" i="2"/>
  <c r="BP266" i="2"/>
  <c r="H140" i="2"/>
  <c r="AO295" i="2"/>
  <c r="AO296" i="2"/>
  <c r="AG274" i="2"/>
  <c r="AB266" i="2"/>
  <c r="AT295" i="2"/>
  <c r="AT296" i="2"/>
  <c r="AJ274" i="2"/>
  <c r="C73" i="3"/>
  <c r="AK295" i="2"/>
  <c r="AK296" i="2"/>
  <c r="E266" i="2"/>
  <c r="E293" i="2"/>
  <c r="E294" i="2"/>
  <c r="BR266" i="2"/>
  <c r="J140" i="2"/>
  <c r="X140" i="2"/>
  <c r="J146" i="2"/>
  <c r="AT293" i="2"/>
  <c r="AT294" i="2"/>
  <c r="AV295" i="2"/>
  <c r="AV296" i="2"/>
  <c r="I289" i="2"/>
  <c r="I290" i="2"/>
  <c r="J295" i="2"/>
  <c r="J296" i="2"/>
  <c r="C293" i="2"/>
  <c r="C294" i="2"/>
  <c r="AV293" i="2"/>
  <c r="AV294" i="2"/>
  <c r="J289" i="2"/>
  <c r="J290" i="2"/>
  <c r="AV289" i="2"/>
  <c r="AV290" i="2"/>
  <c r="X266" i="2"/>
  <c r="AE266" i="2"/>
  <c r="AE293" i="2"/>
  <c r="AE294" i="2"/>
  <c r="AE289" i="2"/>
  <c r="AE290" i="2"/>
  <c r="F144" i="2"/>
  <c r="T293" i="2"/>
  <c r="T294" i="2"/>
  <c r="T289" i="2"/>
  <c r="T290" i="2"/>
  <c r="AU295" i="2"/>
  <c r="AU296" i="2"/>
  <c r="K364" i="1"/>
  <c r="K373" i="1"/>
  <c r="L364" i="1"/>
  <c r="L375" i="1"/>
  <c r="R274" i="2"/>
  <c r="AK289" i="2"/>
  <c r="AK290" i="2"/>
  <c r="AK266" i="2"/>
  <c r="N274" i="2"/>
  <c r="M289" i="2"/>
  <c r="M290" i="2"/>
  <c r="P274" i="2"/>
  <c r="AK293" i="2"/>
  <c r="AK294" i="2"/>
  <c r="BA172" i="2"/>
  <c r="BA274" i="2"/>
  <c r="BB270" i="2"/>
  <c r="BB164" i="2"/>
  <c r="X289" i="2"/>
  <c r="X290" i="2"/>
  <c r="X293" i="2"/>
  <c r="X294" i="2"/>
  <c r="AB140" i="2"/>
  <c r="BN266" i="2"/>
  <c r="BF274" i="2"/>
  <c r="M293" i="2"/>
  <c r="M294" i="2"/>
  <c r="BV266" i="2"/>
  <c r="AU293" i="2"/>
  <c r="AU294" i="2"/>
  <c r="AU289" i="2"/>
  <c r="AU290" i="2"/>
  <c r="AU266" i="2"/>
  <c r="D146" i="2"/>
  <c r="I293" i="2"/>
  <c r="I294" i="2"/>
  <c r="AU274" i="2"/>
  <c r="AL144" i="2"/>
  <c r="AL146" i="2"/>
  <c r="BA195" i="2"/>
  <c r="H364" i="1"/>
  <c r="H372" i="1"/>
  <c r="L274" i="2"/>
  <c r="BA272" i="2"/>
  <c r="BF289" i="2"/>
  <c r="BF290" i="2"/>
  <c r="BF266" i="2"/>
  <c r="AJ289" i="2"/>
  <c r="AJ290" i="2"/>
  <c r="AJ293" i="2"/>
  <c r="AJ294" i="2"/>
  <c r="AJ266" i="2"/>
  <c r="U289" i="2"/>
  <c r="U290" i="2"/>
  <c r="BG289" i="2"/>
  <c r="BG290" i="2"/>
  <c r="X274" i="2"/>
  <c r="BP289" i="2"/>
  <c r="BP290" i="2"/>
  <c r="BP291" i="2"/>
  <c r="BP292" i="2"/>
  <c r="I146" i="2"/>
  <c r="AY150" i="2"/>
  <c r="AY148" i="2"/>
  <c r="AY144" i="2"/>
  <c r="AL140" i="2"/>
  <c r="U293" i="2"/>
  <c r="U294" i="2"/>
  <c r="AI293" i="2"/>
  <c r="AI294" i="2"/>
  <c r="AI266" i="2"/>
  <c r="BA262" i="2"/>
  <c r="BA266" i="2"/>
  <c r="G266" i="2"/>
  <c r="G293" i="2"/>
  <c r="G294" i="2"/>
  <c r="G289" i="2"/>
  <c r="G290" i="2"/>
  <c r="BE274" i="2"/>
  <c r="BS266" i="2"/>
  <c r="N144" i="2"/>
  <c r="AY140" i="2"/>
  <c r="C295" i="2"/>
  <c r="C296" i="2"/>
  <c r="BH266" i="2"/>
  <c r="G364" i="1"/>
  <c r="G372" i="1"/>
  <c r="O274" i="2"/>
  <c r="AX289" i="2"/>
  <c r="AX290" i="2"/>
  <c r="AX293" i="2"/>
  <c r="AX294" i="2"/>
  <c r="E284" i="2"/>
  <c r="E295" i="2"/>
  <c r="E296" i="2"/>
  <c r="H266" i="2"/>
  <c r="H295" i="2"/>
  <c r="H296" i="2"/>
  <c r="H289" i="2"/>
  <c r="H290" i="2"/>
  <c r="AG293" i="2"/>
  <c r="AG294" i="2"/>
  <c r="Q266" i="2"/>
  <c r="C289" i="2"/>
  <c r="C290" i="2"/>
  <c r="AI289" i="2"/>
  <c r="AI290" i="2"/>
  <c r="BO266" i="2"/>
  <c r="AZ293" i="2"/>
  <c r="AZ294" i="2"/>
  <c r="AZ289" i="2"/>
  <c r="AZ290" i="2"/>
  <c r="AQ293" i="2"/>
  <c r="AQ294" i="2"/>
  <c r="H146" i="2"/>
  <c r="AW289" i="2"/>
  <c r="AW290" i="2"/>
  <c r="AW295" i="2"/>
  <c r="AW296" i="2"/>
  <c r="Y289" i="2"/>
  <c r="Y290" i="2"/>
  <c r="Y266" i="2"/>
  <c r="J364" i="1"/>
  <c r="J372" i="1"/>
  <c r="AT144" i="2"/>
  <c r="AT140" i="2"/>
  <c r="BB150" i="2"/>
  <c r="BB140" i="2"/>
  <c r="BB148" i="2"/>
  <c r="BB144" i="2"/>
  <c r="BB202" i="2"/>
  <c r="BB191" i="2"/>
  <c r="AB146" i="2"/>
  <c r="BI202" i="2"/>
  <c r="BI195" i="2"/>
  <c r="BI148" i="2"/>
  <c r="BI150" i="2"/>
  <c r="BE191" i="2"/>
  <c r="O144" i="2"/>
  <c r="O140" i="2"/>
  <c r="O364" i="1"/>
  <c r="O372" i="1"/>
  <c r="U140" i="2"/>
  <c r="I144" i="2"/>
  <c r="I140" i="2"/>
  <c r="AT146" i="2"/>
  <c r="O146" i="2"/>
  <c r="BC201" i="2"/>
  <c r="BC199" i="2"/>
  <c r="BC191" i="2"/>
  <c r="BC195" i="2"/>
  <c r="AD25" i="2"/>
  <c r="AD44" i="2"/>
  <c r="AD45" i="2"/>
  <c r="AD276" i="2"/>
  <c r="AD279" i="2"/>
  <c r="C144" i="2"/>
  <c r="C146" i="2"/>
  <c r="AM274" i="2"/>
  <c r="BI140" i="2"/>
  <c r="BF148" i="2"/>
  <c r="BF144" i="2"/>
  <c r="BF202" i="2"/>
  <c r="BF201" i="2"/>
  <c r="BF140" i="2"/>
  <c r="BF150" i="2"/>
  <c r="BK266" i="2"/>
  <c r="BV292" i="2"/>
  <c r="M364" i="1"/>
  <c r="I373" i="1"/>
  <c r="BJ202" i="2"/>
  <c r="BJ199" i="2"/>
  <c r="BJ150" i="2"/>
  <c r="BJ148" i="2"/>
  <c r="BJ144" i="2"/>
  <c r="I378" i="1"/>
  <c r="N372" i="1"/>
  <c r="N376" i="1"/>
  <c r="I367" i="1"/>
  <c r="N375" i="1"/>
  <c r="F378" i="1"/>
  <c r="P374" i="1"/>
  <c r="F374" i="1"/>
  <c r="N374" i="1"/>
  <c r="I372" i="1"/>
  <c r="I376" i="1"/>
  <c r="P373" i="1"/>
  <c r="P375" i="1"/>
  <c r="P367" i="1"/>
  <c r="N378" i="1"/>
  <c r="F373" i="1"/>
  <c r="F375" i="1"/>
  <c r="N367" i="1"/>
  <c r="I374" i="1"/>
  <c r="F367" i="1"/>
  <c r="H373" i="1"/>
  <c r="K367" i="1"/>
  <c r="K372" i="1"/>
  <c r="K375" i="1"/>
  <c r="H367" i="1"/>
  <c r="H378" i="1"/>
  <c r="K378" i="1"/>
  <c r="L373" i="1"/>
  <c r="L367" i="1"/>
  <c r="L372" i="1"/>
  <c r="L374" i="1"/>
  <c r="L378" i="1"/>
  <c r="J367" i="1"/>
  <c r="K374" i="1"/>
  <c r="H375" i="1"/>
  <c r="G378" i="1"/>
  <c r="G374" i="1"/>
  <c r="G367" i="1"/>
  <c r="G373" i="1"/>
  <c r="H374" i="1"/>
  <c r="G375" i="1"/>
  <c r="BB266" i="2"/>
  <c r="BB289" i="2"/>
  <c r="BB290" i="2"/>
  <c r="BB293" i="2"/>
  <c r="BB294" i="2"/>
  <c r="J378" i="1"/>
  <c r="J375" i="1"/>
  <c r="J374" i="1"/>
  <c r="J373" i="1"/>
  <c r="O375" i="1"/>
  <c r="O367" i="1"/>
  <c r="O378" i="1"/>
  <c r="O373" i="1"/>
  <c r="O374" i="1"/>
  <c r="BB199" i="2"/>
  <c r="BB201" i="2"/>
  <c r="BB195" i="2"/>
  <c r="BF199" i="2"/>
  <c r="BF195" i="2"/>
  <c r="M373" i="1"/>
  <c r="M367" i="1"/>
  <c r="M375" i="1"/>
  <c r="M378" i="1"/>
  <c r="M372" i="1"/>
  <c r="M374" i="1"/>
  <c r="P376" i="1"/>
  <c r="J376" i="1"/>
  <c r="F376" i="1"/>
  <c r="K376" i="1"/>
  <c r="H376" i="1"/>
  <c r="G376" i="1"/>
  <c r="L376" i="1"/>
  <c r="O376" i="1"/>
  <c r="M376" i="1"/>
  <c r="CS262" i="2"/>
  <c r="R28" i="4"/>
  <c r="AK67" i="3"/>
  <c r="AK69" i="3"/>
  <c r="AK73" i="3"/>
  <c r="AK31" i="3"/>
  <c r="AK36" i="3"/>
  <c r="AO364" i="1"/>
  <c r="AO261" i="1"/>
  <c r="CT113" i="2"/>
  <c r="CT62" i="2"/>
  <c r="CT270" i="2"/>
  <c r="CT284" i="2"/>
  <c r="CT279" i="2"/>
  <c r="CT286" i="2"/>
  <c r="CT264" i="2"/>
  <c r="CT265" i="2"/>
  <c r="CT262" i="2"/>
  <c r="Q27" i="4"/>
  <c r="Q28" i="4"/>
  <c r="Q23" i="4"/>
  <c r="P28" i="4"/>
  <c r="AJ67" i="3"/>
  <c r="AJ69" i="3"/>
  <c r="AJ73" i="3"/>
  <c r="AI73" i="3"/>
  <c r="AJ31" i="3"/>
  <c r="AJ36" i="3"/>
  <c r="AI31" i="3"/>
  <c r="AI36" i="3"/>
  <c r="AN376" i="1"/>
  <c r="AM364" i="1"/>
  <c r="AM373" i="1"/>
  <c r="CR279" i="2"/>
  <c r="CR286" i="2"/>
  <c r="CS270" i="2"/>
  <c r="CR270" i="2"/>
  <c r="CR265" i="2"/>
  <c r="CR284" i="2"/>
  <c r="CS264" i="2"/>
  <c r="CR113" i="2"/>
  <c r="CS279" i="2"/>
  <c r="CS286" i="2"/>
  <c r="CR62" i="2"/>
  <c r="CS265" i="2"/>
  <c r="CR264" i="2"/>
  <c r="CS284" i="2"/>
  <c r="CM215" i="2"/>
  <c r="CO266" i="2"/>
  <c r="CO215" i="2"/>
  <c r="CO264" i="2"/>
  <c r="CM264" i="2"/>
  <c r="CP264" i="2"/>
  <c r="CQ279" i="2"/>
  <c r="CQ286" i="2"/>
  <c r="CP279" i="2"/>
  <c r="CP286" i="2"/>
  <c r="CO164" i="2"/>
  <c r="CN164" i="2"/>
  <c r="CP266" i="2"/>
  <c r="CN264" i="2"/>
  <c r="CQ264" i="2"/>
  <c r="CQ164" i="2"/>
  <c r="CQ270" i="2"/>
  <c r="CQ266" i="2"/>
  <c r="CN270" i="2"/>
  <c r="CN266" i="2"/>
  <c r="AH295" i="2"/>
  <c r="AH296" i="2"/>
  <c r="AL295" i="2"/>
  <c r="AL296" i="2"/>
  <c r="AQ274" i="2"/>
  <c r="T274" i="2"/>
  <c r="AD295" i="2"/>
  <c r="AD296" i="2"/>
  <c r="AY274" i="2"/>
  <c r="K293" i="2"/>
  <c r="K294" i="2"/>
  <c r="K295" i="2"/>
  <c r="K296" i="2"/>
  <c r="K289" i="2"/>
  <c r="K290" i="2"/>
  <c r="AG144" i="2"/>
  <c r="AG146" i="2"/>
  <c r="BK293" i="2"/>
  <c r="BK294" i="2"/>
  <c r="AM266" i="2"/>
  <c r="AG289" i="2"/>
  <c r="AG290" i="2"/>
  <c r="BD284" i="2"/>
  <c r="BD202" i="2"/>
  <c r="N270" i="2"/>
  <c r="N293" i="2"/>
  <c r="N294" i="2"/>
  <c r="AO262" i="2"/>
  <c r="AO266" i="2"/>
  <c r="AX140" i="2"/>
  <c r="E20" i="2"/>
  <c r="E274" i="2"/>
  <c r="F44" i="2"/>
  <c r="F45" i="2"/>
  <c r="L38" i="2"/>
  <c r="L39" i="2"/>
  <c r="L44" i="2"/>
  <c r="L45" i="2"/>
  <c r="AL38" i="2"/>
  <c r="AL39" i="2"/>
  <c r="AL270" i="2"/>
  <c r="AS62" i="2"/>
  <c r="AS70" i="2"/>
  <c r="AS274" i="2"/>
  <c r="AS262" i="2"/>
  <c r="AX93" i="2"/>
  <c r="AX97" i="2"/>
  <c r="AU146" i="2"/>
  <c r="AJ145" i="2"/>
  <c r="AJ146" i="2"/>
  <c r="AP293" i="2"/>
  <c r="AP294" i="2"/>
  <c r="AA293" i="2"/>
  <c r="AA294" i="2"/>
  <c r="AP295" i="2"/>
  <c r="AP296" i="2"/>
  <c r="AV274" i="2"/>
  <c r="BI289" i="2"/>
  <c r="BI290" i="2"/>
  <c r="AF262" i="2"/>
  <c r="AF266" i="2"/>
  <c r="BE140" i="2"/>
  <c r="AD146" i="2"/>
  <c r="AH146" i="2"/>
  <c r="BD99" i="2"/>
  <c r="AS38" i="2"/>
  <c r="AS39" i="2"/>
  <c r="AS44" i="2"/>
  <c r="AS45" i="2"/>
  <c r="AL262" i="2"/>
  <c r="AL274" i="2"/>
  <c r="S140" i="2"/>
  <c r="S144" i="2"/>
  <c r="AY99" i="2"/>
  <c r="AY97" i="2"/>
  <c r="CK266" i="2"/>
  <c r="AJ140" i="2"/>
  <c r="AZ70" i="2"/>
  <c r="AZ274" i="2"/>
  <c r="AZ62" i="2"/>
  <c r="AX148" i="2"/>
  <c r="AX150" i="2"/>
  <c r="AX144" i="2"/>
  <c r="BJ195" i="2"/>
  <c r="AN140" i="2"/>
  <c r="AY289" i="2"/>
  <c r="AY290" i="2"/>
  <c r="BM266" i="2"/>
  <c r="N94" i="2"/>
  <c r="N95" i="2"/>
  <c r="AH140" i="2"/>
  <c r="S44" i="2"/>
  <c r="S45" i="2"/>
  <c r="S270" i="2"/>
  <c r="Z276" i="2"/>
  <c r="Z279" i="2"/>
  <c r="Z75" i="2"/>
  <c r="Z94" i="2"/>
  <c r="Z95" i="2"/>
  <c r="L93" i="2"/>
  <c r="L89" i="2"/>
  <c r="K44" i="2"/>
  <c r="K45" i="2"/>
  <c r="K38" i="2"/>
  <c r="K39" i="2"/>
  <c r="BA191" i="2"/>
  <c r="AC94" i="2"/>
  <c r="AC95" i="2"/>
  <c r="BJ201" i="2"/>
  <c r="BE195" i="2"/>
  <c r="AR146" i="2"/>
  <c r="W266" i="2"/>
  <c r="BD140" i="2"/>
  <c r="BD93" i="2"/>
  <c r="Z274" i="2"/>
  <c r="AH270" i="2"/>
  <c r="T146" i="2"/>
  <c r="T144" i="2"/>
  <c r="BA199" i="2"/>
  <c r="AY293" i="2"/>
  <c r="AY294" i="2"/>
  <c r="V289" i="2"/>
  <c r="V290" i="2"/>
  <c r="AR140" i="2"/>
  <c r="AN266" i="2"/>
  <c r="AN295" i="2"/>
  <c r="AN296" i="2"/>
  <c r="T262" i="2"/>
  <c r="T266" i="2"/>
  <c r="AY62" i="2"/>
  <c r="BD89" i="2"/>
  <c r="BD20" i="2"/>
  <c r="BD12" i="2"/>
  <c r="BD262" i="2"/>
  <c r="BD266" i="2"/>
  <c r="AD270" i="2"/>
  <c r="AD38" i="2"/>
  <c r="AD39" i="2"/>
  <c r="AF276" i="2"/>
  <c r="AF279" i="2"/>
  <c r="AF295" i="2"/>
  <c r="AF296" i="2"/>
  <c r="AF25" i="2"/>
  <c r="AF44" i="2"/>
  <c r="AF45" i="2"/>
  <c r="BE199" i="2"/>
  <c r="BF191" i="2"/>
  <c r="BI191" i="2"/>
  <c r="Q295" i="2"/>
  <c r="Q296" i="2"/>
  <c r="W293" i="2"/>
  <c r="W294" i="2"/>
  <c r="AP266" i="2"/>
  <c r="V295" i="2"/>
  <c r="V296" i="2"/>
  <c r="AN289" i="2"/>
  <c r="AN290" i="2"/>
  <c r="F262" i="2"/>
  <c r="F274" i="2"/>
  <c r="P144" i="2"/>
  <c r="BG70" i="2"/>
  <c r="BG274" i="2"/>
  <c r="S262" i="2"/>
  <c r="S274" i="2"/>
  <c r="R140" i="2"/>
  <c r="C274" i="2"/>
  <c r="H274" i="2"/>
  <c r="U70" i="2"/>
  <c r="AA70" i="2"/>
  <c r="AA274" i="2"/>
  <c r="G144" i="2"/>
  <c r="G146" i="2"/>
  <c r="AU150" i="2"/>
  <c r="AU148" i="2"/>
  <c r="AY70" i="2"/>
  <c r="K262" i="2"/>
  <c r="K266" i="2"/>
  <c r="BD150" i="2"/>
  <c r="Z38" i="2"/>
  <c r="Z39" i="2"/>
  <c r="Z270" i="2"/>
  <c r="M262" i="2"/>
  <c r="M266" i="2"/>
  <c r="M70" i="2"/>
  <c r="M274" i="2"/>
  <c r="AM295" i="2"/>
  <c r="AM296" i="2"/>
  <c r="BI266" i="2"/>
  <c r="BE144" i="2"/>
  <c r="AW12" i="2"/>
  <c r="AU273" i="2"/>
  <c r="AU265" i="2"/>
  <c r="U279" i="2"/>
  <c r="U295" i="2"/>
  <c r="U296" i="2"/>
  <c r="AQ266" i="2"/>
  <c r="BI199" i="2"/>
  <c r="BI201" i="2"/>
  <c r="AP140" i="2"/>
  <c r="AQ295" i="2"/>
  <c r="AQ296" i="2"/>
  <c r="AQ262" i="2"/>
  <c r="BE150" i="2"/>
  <c r="D283" i="2"/>
  <c r="R146" i="2"/>
  <c r="W93" i="2"/>
  <c r="BA150" i="2"/>
  <c r="AM289" i="2"/>
  <c r="AM290" i="2"/>
  <c r="BM289" i="2"/>
  <c r="BM290" i="2"/>
  <c r="AX146" i="2"/>
  <c r="AG140" i="2"/>
  <c r="BG262" i="2"/>
  <c r="BG266" i="2"/>
  <c r="C20" i="2"/>
  <c r="C262" i="2"/>
  <c r="C266" i="2"/>
  <c r="I88" i="2"/>
  <c r="I89" i="2"/>
  <c r="I94" i="2"/>
  <c r="I95" i="2"/>
  <c r="AJ75" i="2"/>
  <c r="AJ94" i="2"/>
  <c r="AJ95" i="2"/>
  <c r="AD144" i="2"/>
  <c r="BD97" i="2"/>
  <c r="U274" i="2"/>
  <c r="AR113" i="2"/>
  <c r="AR262" i="2"/>
  <c r="AR266" i="2"/>
  <c r="F270" i="2"/>
  <c r="N139" i="2"/>
  <c r="N140" i="2"/>
  <c r="N145" i="2"/>
  <c r="N146" i="2"/>
  <c r="AC113" i="2"/>
  <c r="AC270" i="2"/>
  <c r="AS145" i="2"/>
  <c r="AS146" i="2"/>
  <c r="AS270" i="2"/>
  <c r="AO367" i="1"/>
  <c r="AO373" i="1"/>
  <c r="AO372" i="1"/>
  <c r="AO375" i="1"/>
  <c r="CT266" i="2"/>
  <c r="AM367" i="1"/>
  <c r="AM372" i="1"/>
  <c r="AM376" i="1"/>
  <c r="CS266" i="2"/>
  <c r="CR266" i="2"/>
  <c r="AD289" i="2"/>
  <c r="AD290" i="2"/>
  <c r="AD293" i="2"/>
  <c r="AD294" i="2"/>
  <c r="AD266" i="2"/>
  <c r="AL293" i="2"/>
  <c r="AL294" i="2"/>
  <c r="AL289" i="2"/>
  <c r="AL290" i="2"/>
  <c r="AL266" i="2"/>
  <c r="S266" i="2"/>
  <c r="S295" i="2"/>
  <c r="S296" i="2"/>
  <c r="S293" i="2"/>
  <c r="S294" i="2"/>
  <c r="S289" i="2"/>
  <c r="S290" i="2"/>
  <c r="N295" i="2"/>
  <c r="N296" i="2"/>
  <c r="N289" i="2"/>
  <c r="N290" i="2"/>
  <c r="N266" i="2"/>
  <c r="K274" i="2"/>
  <c r="Z289" i="2"/>
  <c r="Z290" i="2"/>
  <c r="Z266" i="2"/>
  <c r="AC295" i="2"/>
  <c r="AC296" i="2"/>
  <c r="AC266" i="2"/>
  <c r="AC289" i="2"/>
  <c r="AC290" i="2"/>
  <c r="BD274" i="2"/>
  <c r="AH266" i="2"/>
  <c r="AH289" i="2"/>
  <c r="AH290" i="2"/>
  <c r="AH293" i="2"/>
  <c r="AH294" i="2"/>
  <c r="AO274" i="2"/>
  <c r="AS289" i="2"/>
  <c r="AS290" i="2"/>
  <c r="AS295" i="2"/>
  <c r="AS296" i="2"/>
  <c r="AS293" i="2"/>
  <c r="AS294" i="2"/>
  <c r="AS266" i="2"/>
  <c r="AR274" i="2"/>
  <c r="AF274" i="2"/>
  <c r="F289" i="2"/>
  <c r="F290" i="2"/>
  <c r="F295" i="2"/>
  <c r="F296" i="2"/>
  <c r="F266" i="2"/>
  <c r="F293" i="2"/>
  <c r="F294" i="2"/>
  <c r="D284" i="2"/>
  <c r="D295" i="2"/>
  <c r="D296" i="2"/>
  <c r="Z293" i="2"/>
  <c r="Z294" i="2"/>
  <c r="Z295" i="2"/>
  <c r="Z296" i="2"/>
  <c r="AC293" i="2"/>
  <c r="AC294" i="2"/>
  <c r="BD191" i="2"/>
  <c r="BD195" i="2"/>
  <c r="BD199" i="2"/>
  <c r="BD201" i="2"/>
  <c r="AO37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Tony Doyle</author>
    <author>Amelia Venter</author>
  </authors>
  <commentList>
    <comment ref="D16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Gold sold was 10,252 kilograms</t>
        </r>
      </text>
    </comment>
    <comment ref="E1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Gold sold was 10,972 kilograms</t>
        </r>
      </text>
    </comment>
    <comment ref="BJ28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Revenue is based on gold sales of 4,155kg</t>
        </r>
      </text>
    </comment>
    <comment ref="BJ29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This includes gold inventory adjustment of R27million on underground cost</t>
        </r>
      </text>
    </comment>
    <comment ref="D66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Gold sold 8,444 kilograms</t>
        </r>
      </text>
    </comment>
    <comment ref="E66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Gold sold 9,062 kilograms</t>
        </r>
      </text>
    </comment>
    <comment ref="C78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Revenue from 4 shaft of R58.6m was capitalised</t>
        </r>
      </text>
    </comment>
    <comment ref="D78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Revenue from 4 shaft of R72.3m was capitalised</t>
        </r>
      </text>
    </comment>
    <comment ref="BJ78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Revenue is based on gold sales of 3,810kg</t>
        </r>
      </text>
    </comment>
    <comment ref="BJ79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This includes gold inventory adjustment of R11million on underground cost</t>
        </r>
      </text>
    </comment>
    <comment ref="L133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4 shaft of R426m</t>
        </r>
      </text>
    </comment>
    <comment ref="P133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Beatrix North and South of R124m</t>
        </r>
      </text>
    </comment>
    <comment ref="BJ180" authorId="1" shapeId="0" xr:uid="{00000000-0006-0000-0000-00000D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Revenue is based on gold sales of 1,170kg</t>
        </r>
      </text>
    </comment>
    <comment ref="BJ181" authorId="1" shapeId="0" xr:uid="{00000000-0006-0000-0000-00000E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This includes gold inventory adjustment of R5million on surface cost</t>
        </r>
      </text>
    </comment>
    <comment ref="L184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4 shaft of R426m</t>
        </r>
      </text>
    </comment>
    <comment ref="P184" authorId="0" shapeId="0" xr:uid="{00000000-0006-0000-0000-000010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Beatrix North and South of R124m</t>
        </r>
      </text>
    </comment>
    <comment ref="BH184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impairment at Cooke's Ezulwini 4 shaft of R817m.
</t>
        </r>
      </text>
    </comment>
    <comment ref="BJ231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Revenue is based on gold sales of 1,170kg</t>
        </r>
      </text>
    </comment>
    <comment ref="BJ232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Amelia Venter:</t>
        </r>
        <r>
          <rPr>
            <sz val="9"/>
            <color indexed="81"/>
            <rFont val="Tahoma"/>
            <family val="2"/>
          </rPr>
          <t xml:space="preserve">
This includes gold inventory adjustment of R5million on surface cost</t>
        </r>
      </text>
    </comment>
    <comment ref="L235" authorId="0" shapeId="0" xr:uid="{00000000-0006-0000-0000-000014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4 shaft of R426m</t>
        </r>
      </text>
    </comment>
    <comment ref="P235" authorId="0" shapeId="0" xr:uid="{00000000-0006-0000-0000-000015000000}">
      <text>
        <r>
          <rPr>
            <b/>
            <sz val="8"/>
            <color indexed="81"/>
            <rFont val="Tahoma"/>
            <family val="2"/>
          </rPr>
          <t>Tony Doyle:</t>
        </r>
        <r>
          <rPr>
            <sz val="8"/>
            <color indexed="81"/>
            <rFont val="Tahoma"/>
            <family val="2"/>
          </rPr>
          <t xml:space="preserve">
Impairment at Beatrix North and South of R124m</t>
        </r>
      </text>
    </comment>
    <comment ref="BH235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impairment at Cooke's Ezulwini 4 shaft of R817m.
</t>
        </r>
      </text>
    </comment>
    <comment ref="BH28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the hedge of R2.2m</t>
        </r>
      </text>
    </comment>
    <comment ref="BI28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the hedge of R11.4m</t>
        </r>
      </text>
    </comment>
    <comment ref="BJ28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the hedge of R27.6m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Eileen Coetzee</author>
    <author>Tony Doyle</author>
  </authors>
  <commentList>
    <comment ref="J4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Eileen Coetzee:</t>
        </r>
        <r>
          <rPr>
            <sz val="9"/>
            <color indexed="81"/>
            <rFont val="Tahoma"/>
            <family val="2"/>
          </rPr>
          <t xml:space="preserve">
This measure is no longer reported</t>
        </r>
      </text>
    </comment>
    <comment ref="E281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Tony Doyle:</t>
        </r>
        <r>
          <rPr>
            <sz val="9"/>
            <color indexed="81"/>
            <rFont val="Tahoma"/>
            <family val="2"/>
          </rPr>
          <t xml:space="preserve">
Includes R2,428m gain on acquisition.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tc={19970D47-8F81-49C4-A2FE-4E19BCE9F1F9}</author>
  </authors>
  <commentList>
    <comment ref="AH47" authorId="0" shapeId="0" xr:uid="{19970D47-8F81-49C4-A2FE-4E19BCE9F1F9}">
      <text>
        <t>[Threaded comment]
Your version of Excel allows you to read this threaded comment; however, any edits to it will get removed if the file is opened in a newer version of Excel. Learn more: https://go.microsoft.com/fwlink/?linkid=870924
Comment:
    Adjusted to include the S45X credit for mining</t>
      </text>
    </comment>
  </commentList>
</comments>
</file>

<file path=xl/sharedStrings.xml><?xml version="1.0" encoding="utf-8"?>
<sst xmlns="http://schemas.openxmlformats.org/spreadsheetml/2006/main" count="2331" uniqueCount="339">
  <si>
    <t>Mar-02</t>
  </si>
  <si>
    <t>June-02</t>
  </si>
  <si>
    <t>Sep-02</t>
  </si>
  <si>
    <t>Dec-02</t>
  </si>
  <si>
    <t>Mar-03</t>
  </si>
  <si>
    <t>June-03</t>
  </si>
  <si>
    <t>Sep-03</t>
  </si>
  <si>
    <t>Dec-03</t>
  </si>
  <si>
    <t>Mar-04</t>
  </si>
  <si>
    <t>June-04</t>
  </si>
  <si>
    <t>Sep-04</t>
  </si>
  <si>
    <t>Dec-04</t>
  </si>
  <si>
    <t>Mar-05</t>
  </si>
  <si>
    <t>June-05</t>
  </si>
  <si>
    <t>Sep-05</t>
  </si>
  <si>
    <t>Dec-05</t>
  </si>
  <si>
    <t>Mar-06</t>
  </si>
  <si>
    <t>June-06</t>
  </si>
  <si>
    <t>Sep-06</t>
  </si>
  <si>
    <t>Dec-06</t>
  </si>
  <si>
    <t>Mar-07</t>
  </si>
  <si>
    <t>June-07</t>
  </si>
  <si>
    <t>Sep-07</t>
  </si>
  <si>
    <t>Dec-07</t>
  </si>
  <si>
    <t>Mar-08</t>
  </si>
  <si>
    <t>June-08</t>
  </si>
  <si>
    <t>Sep-08</t>
  </si>
  <si>
    <t>Dec-08</t>
  </si>
  <si>
    <t>Mar-09</t>
  </si>
  <si>
    <t>June-09</t>
  </si>
  <si>
    <t>Sep-09</t>
  </si>
  <si>
    <t>Dec-09</t>
  </si>
  <si>
    <t>Mar-10</t>
  </si>
  <si>
    <t>June-10</t>
  </si>
  <si>
    <t>Sep-10</t>
  </si>
  <si>
    <t>Dec-10</t>
  </si>
  <si>
    <t>Mar-11</t>
  </si>
  <si>
    <t>June-11</t>
  </si>
  <si>
    <t>Sep-11</t>
  </si>
  <si>
    <t>Dec-11</t>
  </si>
  <si>
    <t>Mar-12</t>
  </si>
  <si>
    <t>June-12</t>
  </si>
  <si>
    <t>Sep-12</t>
  </si>
  <si>
    <t>Dec-12</t>
  </si>
  <si>
    <t>Mar-13</t>
  </si>
  <si>
    <t>June-13</t>
  </si>
  <si>
    <t>Sep-13</t>
  </si>
  <si>
    <t>Mar-14</t>
  </si>
  <si>
    <t>June-14</t>
  </si>
  <si>
    <t>Driefontein</t>
  </si>
  <si>
    <t>Unbundled from Gold Fields on 18 February 2013</t>
  </si>
  <si>
    <t>Main development - metres</t>
  </si>
  <si>
    <t>Underground</t>
  </si>
  <si>
    <t>Surface</t>
  </si>
  <si>
    <t>Total</t>
  </si>
  <si>
    <t>Yield (g/t)</t>
  </si>
  <si>
    <t>Combined</t>
  </si>
  <si>
    <t>Gold produced (kilogram)</t>
  </si>
  <si>
    <t>Note 1 below</t>
  </si>
  <si>
    <t>Ore reserve development</t>
  </si>
  <si>
    <t xml:space="preserve">Prior to the 1 July 2006 Ore Reserve Development (ORD) costs were expensed in the income statement     </t>
  </si>
  <si>
    <t>Sustaining capex</t>
  </si>
  <si>
    <t>Previously not published</t>
  </si>
  <si>
    <t>Major/growth projects</t>
  </si>
  <si>
    <t>Total capex</t>
  </si>
  <si>
    <t>ORD capitalised from July 2006</t>
  </si>
  <si>
    <t>Revenue</t>
  </si>
  <si>
    <t>Amortisation</t>
  </si>
  <si>
    <t>Sundry/exceptionals</t>
  </si>
  <si>
    <t>Tax</t>
  </si>
  <si>
    <t>Net profit</t>
  </si>
  <si>
    <t>Unit revenue/costs</t>
  </si>
  <si>
    <t>Gold price - R/kg</t>
  </si>
  <si>
    <t>Gold price - US$/oz</t>
  </si>
  <si>
    <t>Total cash cost - R/kg</t>
  </si>
  <si>
    <t>Total cash cost - US$/oz</t>
  </si>
  <si>
    <t>Notional cash expenditure - R/kg</t>
  </si>
  <si>
    <t>n/a</t>
  </si>
  <si>
    <t>Notional cash expenditure - US$/oz</t>
  </si>
  <si>
    <t>All-in sustaining cost - R/kg</t>
  </si>
  <si>
    <t>All-in sustaining cost - US$/oz</t>
  </si>
  <si>
    <t>All-in cost - R/kg</t>
  </si>
  <si>
    <t>All-in cost - US$/oz</t>
  </si>
  <si>
    <t>Average exchange rate R/US$</t>
  </si>
  <si>
    <t>Kloof</t>
  </si>
  <si>
    <t>Beatrix</t>
  </si>
  <si>
    <t>Cooke</t>
  </si>
  <si>
    <t>All-in cost margin</t>
  </si>
  <si>
    <t>June month</t>
  </si>
  <si>
    <t>Sep-14</t>
  </si>
  <si>
    <t>Mar-15</t>
  </si>
  <si>
    <t>Impairment of R821m, reversed in the December 2014 qtr - at R474m.</t>
  </si>
  <si>
    <t>Jun-15</t>
  </si>
  <si>
    <t>Figures may vary due to rounding's</t>
  </si>
  <si>
    <t>Total capital expenditure</t>
  </si>
  <si>
    <t>Sep-15</t>
  </si>
  <si>
    <t>Dec-15</t>
  </si>
  <si>
    <t>Mar-16</t>
  </si>
  <si>
    <t>Jun-16</t>
  </si>
  <si>
    <t>Gold revenue</t>
  </si>
  <si>
    <t>PGM 4E production</t>
  </si>
  <si>
    <t>PGM 4E basket price - R/4Eoz</t>
  </si>
  <si>
    <t>PGM 4E basket price - US$/4Eoz</t>
  </si>
  <si>
    <t>Platinum Mile surface operation (100%)</t>
  </si>
  <si>
    <t>Plant head grade (g/t)</t>
  </si>
  <si>
    <t>Sep-16</t>
  </si>
  <si>
    <t>Dec-16</t>
  </si>
  <si>
    <t>Operating cost - R/4Eoz</t>
  </si>
  <si>
    <t>Operating cost - US$/4Eoz</t>
  </si>
  <si>
    <t>Total cash cost - R/4Eoz</t>
  </si>
  <si>
    <t>Total cash cost - US$/4Eoz</t>
  </si>
  <si>
    <t>ORD capitalised from June 2017, backdated Nov 2016</t>
  </si>
  <si>
    <t>Impairment of R603.7m</t>
  </si>
  <si>
    <t>Impairment of R817.9m</t>
  </si>
  <si>
    <t>Impairment of R2,187.8m</t>
  </si>
  <si>
    <t>Unit revenue/costs - Gold Operations</t>
  </si>
  <si>
    <t>PGM 2E production ounces</t>
  </si>
  <si>
    <t>PGM 2E basket price - R/2Eoz</t>
  </si>
  <si>
    <t>Operating cost - R/2Eoz</t>
  </si>
  <si>
    <t>Operating cost - US$/2Eoz</t>
  </si>
  <si>
    <t>Total cash cost - R/2Eoz</t>
  </si>
  <si>
    <t>Total cash cost - US$/2Eoz</t>
  </si>
  <si>
    <t>PGM 2E basket price - US$/2Eoz</t>
  </si>
  <si>
    <t>Ore milled (000 tonne)</t>
  </si>
  <si>
    <t>Operating costs (Rand per tonne)</t>
  </si>
  <si>
    <t>PGM ounces fed</t>
  </si>
  <si>
    <t>PGM ounces sold</t>
  </si>
  <si>
    <t>PGM tolled ounces returned</t>
  </si>
  <si>
    <t>All-in sustaining cost - R/4Eoz</t>
  </si>
  <si>
    <t>All-in sustaining cost - US$/4Eoz</t>
  </si>
  <si>
    <t>Revenue:</t>
  </si>
  <si>
    <t>Recycling</t>
  </si>
  <si>
    <t>Cost of sales, before amortisation</t>
  </si>
  <si>
    <t>ORD capitalised from June 2017</t>
  </si>
  <si>
    <t>Capital expenditure (R'm)</t>
  </si>
  <si>
    <t>Financial summary (R'm)</t>
  </si>
  <si>
    <t>All-in cost - R/4Eoz</t>
  </si>
  <si>
    <t>All-in cost - US$/4Eoz</t>
  </si>
  <si>
    <t>Operating cost - R/kg</t>
  </si>
  <si>
    <t>Operating cost - US$/oz</t>
  </si>
  <si>
    <t>Excludes Burnstone and Corporate</t>
  </si>
  <si>
    <t>All-in sustaining cost - R/2Eoz</t>
  </si>
  <si>
    <t>All-in cost - R/2Eoz</t>
  </si>
  <si>
    <t>All-in cost - US$/2Eoz</t>
  </si>
  <si>
    <t>All-in sustaining cost - US$/2Eoz</t>
  </si>
  <si>
    <t>Platinum</t>
  </si>
  <si>
    <t>Palladium</t>
  </si>
  <si>
    <t>Rhodium</t>
  </si>
  <si>
    <t>Gold</t>
  </si>
  <si>
    <t>PGM production</t>
  </si>
  <si>
    <t>Ruthenium</t>
  </si>
  <si>
    <t>Iridium</t>
  </si>
  <si>
    <t>Mimosa 4Eoz (attributable 50%)</t>
  </si>
  <si>
    <t>Rustenburg Managed (100%)</t>
  </si>
  <si>
    <t>Test</t>
  </si>
  <si>
    <t>Data since acquisition - May 2017</t>
  </si>
  <si>
    <t>Sibanye-Stillwater US PGM operation - salient features</t>
  </si>
  <si>
    <t>Recycling Operations (3E PGM)</t>
  </si>
  <si>
    <t>DRDGOLD</t>
  </si>
  <si>
    <t>All-in costs includes corporate expenditure</t>
  </si>
  <si>
    <t>Mimosa (attributable 50%)</t>
  </si>
  <si>
    <t>Mimosa attributable at 50%, however as Mimosa is equity accounted and this is for information only</t>
  </si>
  <si>
    <r>
      <t>Rustenburg Managed (100%) -</t>
    </r>
    <r>
      <rPr>
        <sz val="16"/>
        <rFont val="Calibri"/>
        <family val="2"/>
      </rPr>
      <t xml:space="preserve"> </t>
    </r>
    <r>
      <rPr>
        <sz val="12"/>
        <rFont val="Calibri"/>
        <family val="2"/>
      </rPr>
      <t>Data since acquisition November 2016</t>
    </r>
  </si>
  <si>
    <t>Sibanye-Stillwater SA PGM operations - salient features</t>
  </si>
  <si>
    <t>SA PGM operations - Attributable (Mimosa is equity accounted and included in Sundry. Corporate costs are also included)</t>
  </si>
  <si>
    <t>Sibanye-Stillwater SA PGM operations - Prill Split</t>
  </si>
  <si>
    <t>SA PGM operations</t>
  </si>
  <si>
    <r>
      <t>Marikana (100%) -</t>
    </r>
    <r>
      <rPr>
        <sz val="16"/>
        <rFont val="Calibri"/>
        <family val="2"/>
      </rPr>
      <t xml:space="preserve"> </t>
    </r>
    <r>
      <rPr>
        <sz val="12"/>
        <rFont val="Calibri"/>
        <family val="2"/>
      </rPr>
      <t>Data since acquisition June 2019</t>
    </r>
  </si>
  <si>
    <t>Sibanye-Stillwater US PGM operation - Prill Split excluding recycling</t>
  </si>
  <si>
    <r>
      <t xml:space="preserve">Sibanye-Stillwater  SA </t>
    </r>
    <r>
      <rPr>
        <b/>
        <sz val="16"/>
        <color indexed="9"/>
        <rFont val="Calibri"/>
        <family val="2"/>
      </rPr>
      <t>Gold operations - salient features</t>
    </r>
  </si>
  <si>
    <t>PGM production 4E</t>
  </si>
  <si>
    <t>Total 6E</t>
  </si>
  <si>
    <t>Chrome Tons Produced</t>
  </si>
  <si>
    <t>Includes Marikana Chrome production</t>
  </si>
  <si>
    <t>Received</t>
  </si>
  <si>
    <t>Size</t>
  </si>
  <si>
    <t>Categories</t>
  </si>
  <si>
    <t>82 KB</t>
  </si>
  <si>
    <t>Royalties &amp; Carbon tax</t>
  </si>
  <si>
    <t>Royalties and Carbon tax</t>
  </si>
  <si>
    <t>Bargain purchase included in Jun-19</t>
  </si>
  <si>
    <t xml:space="preserve">Marikana (100%) </t>
  </si>
  <si>
    <r>
      <t>PGM 4E production</t>
    </r>
    <r>
      <rPr>
        <b/>
        <u/>
        <vertAlign val="superscript"/>
        <sz val="11"/>
        <color theme="1"/>
        <rFont val="Calibri"/>
        <family val="2"/>
        <scheme val="minor"/>
      </rPr>
      <t>1</t>
    </r>
  </si>
  <si>
    <t>Sep-19</t>
  </si>
  <si>
    <t>Dec-19</t>
  </si>
  <si>
    <t>Mar-20</t>
  </si>
  <si>
    <t>Jun-20</t>
  </si>
  <si>
    <t>Sep-20</t>
  </si>
  <si>
    <t>Dec-20</t>
  </si>
  <si>
    <t>Mar-21</t>
  </si>
  <si>
    <t>Jun-21</t>
  </si>
  <si>
    <r>
      <t>Operating costs (Rand per tonne)</t>
    </r>
    <r>
      <rPr>
        <b/>
        <u/>
        <vertAlign val="superscript"/>
        <sz val="11"/>
        <color theme="1"/>
        <rFont val="Calibri"/>
        <family val="2"/>
        <scheme val="minor"/>
      </rPr>
      <t>1</t>
    </r>
  </si>
  <si>
    <r>
      <t>Unit revenue/costs</t>
    </r>
    <r>
      <rPr>
        <b/>
        <u/>
        <vertAlign val="superscript"/>
        <sz val="11"/>
        <color theme="1"/>
        <rFont val="Calibri"/>
        <family val="2"/>
        <scheme val="minor"/>
      </rPr>
      <t>1</t>
    </r>
  </si>
  <si>
    <t>The Marikana PGM production includes the processing of third party concentrate purchases - quantified below. It excludes the costs associated with the purchase of concentrate (PoC) from third parties</t>
  </si>
  <si>
    <t>Sep-21</t>
  </si>
  <si>
    <t>Dec-21</t>
  </si>
  <si>
    <t>Mar-22</t>
  </si>
  <si>
    <r>
      <t>PGM 4E production ounces</t>
    </r>
    <r>
      <rPr>
        <b/>
        <u/>
        <vertAlign val="superscript"/>
        <sz val="11"/>
        <color theme="1"/>
        <rFont val="Calibri"/>
        <family val="2"/>
        <scheme val="minor"/>
      </rPr>
      <t>1</t>
    </r>
  </si>
  <si>
    <t>Jun-22</t>
  </si>
  <si>
    <t>Sep-22</t>
  </si>
  <si>
    <t>Dec-22</t>
  </si>
  <si>
    <t>Average tonnes of catalyst fed per day</t>
  </si>
  <si>
    <t>Total tonnes processed</t>
  </si>
  <si>
    <t>Tolled tonnes</t>
  </si>
  <si>
    <t>Purchased tonnes</t>
  </si>
  <si>
    <t>Battery metal split</t>
  </si>
  <si>
    <t>Volumes produced (tonnes)</t>
  </si>
  <si>
    <t>Nickel Metal</t>
  </si>
  <si>
    <t>Total Nickel Production tNi</t>
  </si>
  <si>
    <t>Volumes sales (tonnes)</t>
  </si>
  <si>
    <t>Total Nickel Sold tNi</t>
  </si>
  <si>
    <t>Nickel Salts</t>
  </si>
  <si>
    <t>Nickel Cakes</t>
  </si>
  <si>
    <t>Cobalt Chloride (CoCl2)</t>
  </si>
  <si>
    <t>Ferric Chloride (FeCl3)</t>
  </si>
  <si>
    <t>Nickel equivalent average basket price - US$/tNi</t>
  </si>
  <si>
    <t>Nickel equivalent average basket price - R/tNi</t>
  </si>
  <si>
    <t>Nickel equivalent sustaining cost - R/tNi</t>
  </si>
  <si>
    <t>Nickel equivalent sustaining cost - US$/tNi</t>
  </si>
  <si>
    <t>Nickel recovery yield</t>
  </si>
  <si>
    <r>
      <t xml:space="preserve">Sibanye-Stillwater Sandouville refinery - </t>
    </r>
    <r>
      <rPr>
        <sz val="12"/>
        <color theme="1"/>
        <rFont val="Calibri"/>
        <family val="2"/>
        <scheme val="minor"/>
      </rPr>
      <t>Data since acquisition 4 February 2022</t>
    </r>
  </si>
  <si>
    <t xml:space="preserve">Volumes produced </t>
  </si>
  <si>
    <t xml:space="preserve">Volumes sales </t>
  </si>
  <si>
    <t>Mar-23</t>
  </si>
  <si>
    <t>Zinc retreatment</t>
  </si>
  <si>
    <t>Ore mined (Kt)</t>
  </si>
  <si>
    <t>Ore mined and processed</t>
  </si>
  <si>
    <t>Grade (%)</t>
  </si>
  <si>
    <t>Concentrate zinc grade</t>
  </si>
  <si>
    <t>Production (Kt)</t>
  </si>
  <si>
    <t>Recovery (%)</t>
  </si>
  <si>
    <t>Average equivalent zinc concentrate price - R/tZn</t>
  </si>
  <si>
    <t>All-in sustaining cost - R/tZn</t>
  </si>
  <si>
    <t>Average equivalent zinc concentrate price - US$/tZn</t>
  </si>
  <si>
    <t>All-in sustaining cost - US$/tZn</t>
  </si>
  <si>
    <t>Plant recoveries</t>
  </si>
  <si>
    <t>Jun-23</t>
  </si>
  <si>
    <t>Sep-23</t>
  </si>
  <si>
    <r>
      <t xml:space="preserve">Century zinc retreatment operation - </t>
    </r>
    <r>
      <rPr>
        <sz val="12"/>
        <color theme="1"/>
        <rFont val="Calibri"/>
        <family val="2"/>
        <scheme val="minor"/>
      </rPr>
      <t>Data since acquisition 22 February 2023</t>
    </r>
  </si>
  <si>
    <t>Dec-23</t>
  </si>
  <si>
    <r>
      <t xml:space="preserve">Kroondal (attributable 50% -since acquisition April 2016) and </t>
    </r>
    <r>
      <rPr>
        <b/>
        <sz val="16"/>
        <rFont val="Calibri"/>
        <family val="2"/>
      </rPr>
      <t>reported as 100% from 1 November 2023</t>
    </r>
  </si>
  <si>
    <t>Mar-24</t>
  </si>
  <si>
    <t>Kroondal (attributable 50%) and reported at 100% from 1 November 2023</t>
  </si>
  <si>
    <t>All-in cost - R/tZn</t>
  </si>
  <si>
    <t>All-in cost - US$/tZn</t>
  </si>
  <si>
    <t>Gold (oz)</t>
  </si>
  <si>
    <t>Silver (oz)</t>
  </si>
  <si>
    <t>Platinum (oz)</t>
  </si>
  <si>
    <t>Palladium (oz)</t>
  </si>
  <si>
    <t>Other (Rhodium, Ruthenium, Iridium) (oz)</t>
  </si>
  <si>
    <t>Copper (Lbs)</t>
  </si>
  <si>
    <t>Mixed scrap (Lbs)</t>
  </si>
  <si>
    <t>Jun-24</t>
  </si>
  <si>
    <t>Sep-24</t>
  </si>
  <si>
    <t>Dec-24</t>
  </si>
  <si>
    <t>Includes Kroondal as from January 2025</t>
  </si>
  <si>
    <t>Included in Rustenburg as from January 2025</t>
  </si>
  <si>
    <t>Mar-25</t>
  </si>
  <si>
    <t>Zinc ore grade processed</t>
  </si>
  <si>
    <t>Zinc in concentrate produced</t>
  </si>
  <si>
    <t>Payable zinc production</t>
  </si>
  <si>
    <t>Square metres mined</t>
  </si>
  <si>
    <t xml:space="preserve">Square metres mined </t>
  </si>
  <si>
    <t>Jun-25</t>
  </si>
  <si>
    <t>Sep-25</t>
  </si>
  <si>
    <t>-</t>
  </si>
  <si>
    <t>Dec-25</t>
  </si>
  <si>
    <t>Mar-26</t>
  </si>
  <si>
    <t>* March 2024 to September 2025 includes all data for Reldan Pennsylvania (PA) site</t>
  </si>
  <si>
    <t>Volume sold (PA and NC site since Dec 2025)</t>
  </si>
  <si>
    <t>Columbus recycling operations (3E PGM)</t>
  </si>
  <si>
    <r>
      <t xml:space="preserve">Recycling operations - </t>
    </r>
    <r>
      <rPr>
        <sz val="12"/>
        <color theme="1"/>
        <rFont val="Calibri"/>
        <family val="2"/>
        <scheme val="minor"/>
      </rPr>
      <t>Data since acquisition of Reldan March 2024</t>
    </r>
    <r>
      <rPr>
        <b/>
        <sz val="16"/>
        <color theme="1"/>
        <rFont val="Calibri"/>
        <family val="2"/>
        <scheme val="minor"/>
      </rPr>
      <t>*</t>
    </r>
  </si>
  <si>
    <t>Includes Metallix North Carolina (NC) site since Dec' 2025 quarter**</t>
  </si>
  <si>
    <t>**Dec 2025 includes both Reldan Pennsylvania (PA) site and Metallix North Carolina (NC) site</t>
  </si>
  <si>
    <t>Reported as part of Recycling operations</t>
  </si>
  <si>
    <t>Includes Reldan Pennsylvania (PA) site, Metallix North Carolina (NC) site and Montana recycling site as from 2026***</t>
  </si>
  <si>
    <t xml:space="preserve">*** From March 2026, Recycling operations consists of Reldan Pennsylvania (PA) site, Metallix North Carlina (NC) site and Montana recycling site </t>
  </si>
  <si>
    <t>Jun-26</t>
  </si>
  <si>
    <t>SALIENT FEATURES AND COST BENCHMARKS - QUARTERS</t>
  </si>
  <si>
    <t>SA and US PGM operations</t>
  </si>
  <si>
    <t>US and SA PGM operations</t>
  </si>
  <si>
    <t>US PGM operations</t>
  </si>
  <si>
    <t>Total SA PGM operations</t>
  </si>
  <si>
    <t>Rustenburg including Kroondal</t>
  </si>
  <si>
    <t>Marikana</t>
  </si>
  <si>
    <t>Plat Mile</t>
  </si>
  <si>
    <t>Mimosa</t>
  </si>
  <si>
    <r>
      <rPr>
        <sz val="6"/>
        <color rgb="FF000000"/>
        <rFont val="Century Gothic"/>
        <family val="2"/>
      </rPr>
      <t xml:space="preserve">Under-
</t>
    </r>
    <r>
      <rPr>
        <sz val="6"/>
        <color rgb="FF000000"/>
        <rFont val="Century Gothic"/>
        <family val="2"/>
      </rPr>
      <t>ground</t>
    </r>
  </si>
  <si>
    <t>Under-
ground</t>
  </si>
  <si>
    <t>Attribu-table</t>
  </si>
  <si>
    <t>Production</t>
  </si>
  <si>
    <t>Tonnes milled/treated</t>
  </si>
  <si>
    <t>kt</t>
  </si>
  <si>
    <t>Jun 2026</t>
  </si>
  <si>
    <t>Mar 2026</t>
  </si>
  <si>
    <t>Plant head grade</t>
  </si>
  <si>
    <t>g/t</t>
  </si>
  <si>
    <t>%</t>
  </si>
  <si>
    <t>Yield</t>
  </si>
  <si>
    <t>4Eoz - 2Eoz</t>
  </si>
  <si>
    <t>PGM sold</t>
  </si>
  <si>
    <t>Price and cost</t>
  </si>
  <si>
    <t>Average PGM basket price</t>
  </si>
  <si>
    <t>R/4Eoz - R/2Eoz</t>
  </si>
  <si>
    <t>US$/4Eoz - US$/2Eoz</t>
  </si>
  <si>
    <t>Operating cost</t>
  </si>
  <si>
    <t>R/t</t>
  </si>
  <si>
    <t>US$/t</t>
  </si>
  <si>
    <t>R/4Eoz - R/2Eoz</t>
  </si>
  <si>
    <t>All-in sustaining cost</t>
  </si>
  <si>
    <t>US$/4Eoz - US$/2Eoz</t>
  </si>
  <si>
    <t>All-in cost</t>
  </si>
  <si>
    <t>US$/4Eoz - US$/2Eoz</t>
  </si>
  <si>
    <t>Capital expenditure</t>
  </si>
  <si>
    <t>Rm</t>
  </si>
  <si>
    <t>Sustaining capital</t>
  </si>
  <si>
    <t xml:space="preserve">Project capital </t>
  </si>
  <si>
    <t>US$m</t>
  </si>
  <si>
    <t xml:space="preserve">SALIENT FEATURES AND COST BENCHMARKS -  QUARTERS </t>
  </si>
  <si>
    <t>SA gold operations</t>
  </si>
  <si>
    <t>Total SA gold operations</t>
  </si>
  <si>
    <t>Gold produced</t>
  </si>
  <si>
    <t>kg</t>
  </si>
  <si>
    <t>oz</t>
  </si>
  <si>
    <t>Gold sold</t>
  </si>
  <si>
    <t>Price and costs</t>
  </si>
  <si>
    <t>Gold price received</t>
  </si>
  <si>
    <t>R/kg</t>
  </si>
  <si>
    <t>US$/oz</t>
  </si>
  <si>
    <t>Corporate and projects</t>
  </si>
  <si>
    <t xml:space="preserve">Total capital expenditure </t>
  </si>
  <si>
    <t>Century zinc retreatment operation</t>
  </si>
  <si>
    <t>Concentrate produced</t>
  </si>
  <si>
    <t xml:space="preserve">kt </t>
  </si>
  <si>
    <t>Payable zinc sales</t>
  </si>
  <si>
    <t>Average equivalent zinc concentrate price</t>
  </si>
  <si>
    <t>R/tZn</t>
  </si>
  <si>
    <t>US$/tZn</t>
  </si>
  <si>
    <t>Project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</si>
</sst>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;\(#,##0\)"/>
    <numFmt numFmtId="167" formatCode="#,##0.0;\(#,##0.0\)"/>
    <numFmt numFmtId="168" formatCode="#,##0.00;\(#,##0.00\)"/>
    <numFmt numFmtId="169" formatCode="0.0"/>
    <numFmt numFmtId="170" formatCode="_ * #,##0.0_ ;_ * \-#,##0.0_ ;_ * &quot;-&quot;??_ ;_ @_ "/>
    <numFmt numFmtId="171" formatCode="_ * #,##0_ ;_ * \-#,##0_ ;_ * &quot;-&quot;??_ ;_ @_ "/>
    <numFmt numFmtId="172" formatCode="_(* #,##0_);_(* \(#,##0\);_(* &quot;-&quot;??_);_(@_)"/>
    <numFmt numFmtId="173" formatCode="_-* #,##0_-;\-* #,##0_-;_-* &quot;-&quot;??_-;_-@_-"/>
    <numFmt numFmtId="174" formatCode="_-* #,##0.0_-;\-* #,##0.0_-;_-* &quot;-&quot;?_-;_-@_-"/>
    <numFmt numFmtId="175" formatCode="#,##0.0"/>
    <numFmt numFmtId="176" formatCode="_(* #,##0.00_);_(* \(#,##0.00\);_(* &quot;-&quot;_);_(@_)"/>
    <numFmt numFmtId="177" formatCode="* #,##0;* \(#,##0\);* &quot;—&quot;;_(@_)"/>
    <numFmt numFmtId="178" formatCode="#,##0;\(#,##0\);&quot;—&quot;;_(@_)"/>
    <numFmt numFmtId="179" formatCode="* #,##0.00;* \(#,##0.00\);* &quot;—&quot;;_(@_)"/>
    <numFmt numFmtId="180" formatCode="#,##0.00;\(#,##0.00\);&quot;—&quot;;_(@_)"/>
    <numFmt numFmtId="181" formatCode="* #,##0.00;* &quot;-&quot;#,##0.00;* &quot;—&quot;;_(@_)"/>
    <numFmt numFmtId="182" formatCode="* #,##0;* &quot;-&quot;#,##0;* &quot;—&quot;;_(@_)"/>
    <numFmt numFmtId="183" formatCode="#0;&quot;-&quot;#0;#0;_(@_)"/>
    <numFmt numFmtId="184" formatCode="#,##0;&quot;-&quot;#,##0;#,##0;_(@_)"/>
    <numFmt numFmtId="185" formatCode="#,##0;&quot;-&quot;#,##0;&quot;—&quot;;_(@_)"/>
    <numFmt numFmtId="186" formatCode="* #,##0;* \(#,##0\);* #,##0;_(@_)"/>
  </numFmts>
  <fonts count="54" x14ac:knownFonts="1"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Calibri"/>
      <family val="2"/>
    </font>
    <font>
      <sz val="12"/>
      <name val="Calibri"/>
      <family val="2"/>
    </font>
    <font>
      <b/>
      <sz val="16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971B2F"/>
      <name val="Calibri"/>
      <family val="2"/>
      <scheme val="minor"/>
    </font>
    <font>
      <b/>
      <u/>
      <sz val="16"/>
      <color rgb="FF0070C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name val="Calibri"/>
      <family val="2"/>
      <scheme val="minor"/>
    </font>
    <font>
      <b/>
      <u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entury Gothic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9"/>
      <color indexed="60"/>
      <name val="Arial"/>
      <family val="2"/>
    </font>
    <font>
      <sz val="10"/>
      <color theme="1"/>
      <name val="Century Gothic"/>
      <family val="2"/>
    </font>
    <font>
      <b/>
      <sz val="8"/>
      <color rgb="FFFFFFFF"/>
      <name val="Century Gothic"/>
      <family val="2"/>
    </font>
    <font>
      <b/>
      <sz val="8"/>
      <color rgb="FF000000"/>
      <name val="Century Gothic"/>
      <family val="2"/>
    </font>
    <font>
      <sz val="8"/>
      <color rgb="FF000000"/>
      <name val="Century Gothic"/>
      <family val="2"/>
    </font>
    <font>
      <sz val="6"/>
      <color rgb="FFFFFFFF"/>
      <name val="Century Gothic"/>
      <family val="2"/>
    </font>
    <font>
      <b/>
      <sz val="6"/>
      <color rgb="FF000000"/>
      <name val="Century Gothic"/>
      <family val="2"/>
    </font>
    <font>
      <b/>
      <sz val="6"/>
      <color rgb="FFFFFFFF"/>
      <name val="Century Gothic"/>
      <family val="2"/>
    </font>
    <font>
      <sz val="6"/>
      <color rgb="FF000000"/>
      <name val="Century Gothic"/>
      <family val="2"/>
    </font>
    <font>
      <b/>
      <sz val="6"/>
      <color rgb="FFFF0000"/>
      <name val="Century Gothic"/>
      <family val="2"/>
    </font>
    <font>
      <sz val="6"/>
      <color rgb="FFFF000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3A369"/>
        <bgColor indexed="64"/>
      </patternFill>
    </fill>
    <fill>
      <patternFill patternType="solid">
        <fgColor rgb="FFA2AAAD"/>
        <bgColor indexed="64"/>
      </patternFill>
    </fill>
    <fill>
      <patternFill patternType="solid">
        <fgColor rgb="FF971B2F"/>
        <bgColor indexed="64"/>
      </patternFill>
    </fill>
    <fill>
      <patternFill patternType="solid">
        <fgColor rgb="FF007D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7E2CF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medium">
        <color indexed="1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68">
    <xf numFmtId="0" fontId="0" fillId="0" borderId="0"/>
    <xf numFmtId="165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33" fillId="0" borderId="0"/>
    <xf numFmtId="9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65" fontId="8" fillId="0" borderId="0"/>
    <xf numFmtId="165" fontId="8" fillId="0" borderId="0"/>
    <xf numFmtId="0" fontId="38" fillId="0" borderId="0"/>
    <xf numFmtId="0" fontId="39" fillId="0" borderId="0" applyBorder="0">
      <alignment wrapText="1"/>
    </xf>
    <xf numFmtId="0" fontId="40" fillId="0" borderId="0"/>
    <xf numFmtId="0" fontId="41" fillId="0" borderId="0" applyBorder="0">
      <alignment wrapText="1"/>
    </xf>
    <xf numFmtId="1" fontId="42" fillId="0" borderId="0">
      <alignment vertical="center"/>
    </xf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3" fillId="18" borderId="21">
      <alignment horizontal="center" vertical="center"/>
    </xf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" fontId="42" fillId="0" borderId="0">
      <alignment vertical="center"/>
    </xf>
    <xf numFmtId="43" fontId="42" fillId="0" borderId="0" applyFont="0" applyFill="0" applyBorder="0" applyAlignment="0" applyProtection="0"/>
    <xf numFmtId="0" fontId="44" fillId="0" borderId="0"/>
    <xf numFmtId="0" fontId="43" fillId="18" borderId="22">
      <alignment horizontal="center" vertical="center"/>
    </xf>
    <xf numFmtId="0" fontId="43" fillId="18" borderId="23">
      <alignment horizontal="center" vertical="center"/>
    </xf>
    <xf numFmtId="0" fontId="43" fillId="18" borderId="24">
      <alignment horizontal="center" vertical="center"/>
    </xf>
    <xf numFmtId="0" fontId="43" fillId="18" borderId="25">
      <alignment horizontal="center" vertical="center"/>
    </xf>
    <xf numFmtId="0" fontId="43" fillId="18" borderId="26">
      <alignment horizontal="center" vertical="center"/>
    </xf>
    <xf numFmtId="0" fontId="43" fillId="18" borderId="27">
      <alignment horizontal="center" vertical="center"/>
    </xf>
    <xf numFmtId="0" fontId="43" fillId="18" borderId="28">
      <alignment horizontal="center" vertical="center"/>
    </xf>
  </cellStyleXfs>
  <cellXfs count="983">
    <xf numFmtId="0" fontId="0" fillId="0" borderId="0" xfId="0"/>
    <xf numFmtId="0" fontId="11" fillId="0" borderId="0" xfId="0" applyFont="1"/>
    <xf numFmtId="167" fontId="13" fillId="0" borderId="1" xfId="0" applyNumberFormat="1" applyFont="1" applyBorder="1"/>
    <xf numFmtId="167" fontId="13" fillId="0" borderId="1" xfId="0" applyNumberFormat="1" applyFont="1" applyBorder="1" applyAlignment="1">
      <alignment horizontal="center"/>
    </xf>
    <xf numFmtId="167" fontId="13" fillId="0" borderId="2" xfId="0" applyNumberFormat="1" applyFont="1" applyBorder="1"/>
    <xf numFmtId="167" fontId="13" fillId="0" borderId="3" xfId="0" applyNumberFormat="1" applyFont="1" applyBorder="1"/>
    <xf numFmtId="167" fontId="0" fillId="0" borderId="3" xfId="0" applyNumberFormat="1" applyBorder="1"/>
    <xf numFmtId="166" fontId="0" fillId="0" borderId="3" xfId="0" applyNumberFormat="1" applyBorder="1"/>
    <xf numFmtId="166" fontId="0" fillId="0" borderId="0" xfId="0" applyNumberFormat="1"/>
    <xf numFmtId="166" fontId="0" fillId="0" borderId="4" xfId="0" applyNumberFormat="1" applyBorder="1"/>
    <xf numFmtId="166" fontId="0" fillId="0" borderId="5" xfId="0" applyNumberFormat="1" applyBorder="1"/>
    <xf numFmtId="168" fontId="0" fillId="0" borderId="5" xfId="0" applyNumberFormat="1" applyBorder="1"/>
    <xf numFmtId="168" fontId="0" fillId="0" borderId="0" xfId="0" applyNumberFormat="1"/>
    <xf numFmtId="168" fontId="0" fillId="0" borderId="4" xfId="0" applyNumberFormat="1" applyBorder="1"/>
    <xf numFmtId="167" fontId="0" fillId="0" borderId="5" xfId="0" applyNumberFormat="1" applyBorder="1"/>
    <xf numFmtId="167" fontId="0" fillId="0" borderId="0" xfId="0" applyNumberFormat="1"/>
    <xf numFmtId="167" fontId="0" fillId="0" borderId="4" xfId="0" applyNumberFormat="1" applyBorder="1"/>
    <xf numFmtId="167" fontId="0" fillId="0" borderId="6" xfId="0" applyNumberFormat="1" applyBorder="1"/>
    <xf numFmtId="167" fontId="0" fillId="0" borderId="7" xfId="0" applyNumberFormat="1" applyBorder="1"/>
    <xf numFmtId="166" fontId="0" fillId="0" borderId="5" xfId="0" applyNumberFormat="1" applyBorder="1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4" xfId="0" applyNumberFormat="1" applyBorder="1" applyAlignment="1">
      <alignment horizontal="right"/>
    </xf>
    <xf numFmtId="0" fontId="0" fillId="0" borderId="5" xfId="0" applyBorder="1"/>
    <xf numFmtId="0" fontId="0" fillId="0" borderId="4" xfId="0" applyBorder="1"/>
    <xf numFmtId="166" fontId="14" fillId="0" borderId="5" xfId="0" applyNumberFormat="1" applyFont="1" applyBorder="1"/>
    <xf numFmtId="2" fontId="0" fillId="0" borderId="5" xfId="0" applyNumberFormat="1" applyBorder="1"/>
    <xf numFmtId="2" fontId="0" fillId="0" borderId="0" xfId="0" applyNumberFormat="1"/>
    <xf numFmtId="2" fontId="0" fillId="0" borderId="4" xfId="0" applyNumberFormat="1" applyBorder="1"/>
    <xf numFmtId="0" fontId="0" fillId="0" borderId="3" xfId="0" applyBorder="1"/>
    <xf numFmtId="167" fontId="13" fillId="0" borderId="5" xfId="0" applyNumberFormat="1" applyFont="1" applyBorder="1"/>
    <xf numFmtId="167" fontId="13" fillId="0" borderId="0" xfId="0" applyNumberFormat="1" applyFont="1"/>
    <xf numFmtId="167" fontId="13" fillId="0" borderId="4" xfId="0" applyNumberFormat="1" applyFont="1" applyBorder="1"/>
    <xf numFmtId="166" fontId="13" fillId="0" borderId="0" xfId="0" applyNumberFormat="1" applyFont="1"/>
    <xf numFmtId="166" fontId="13" fillId="0" borderId="4" xfId="0" applyNumberFormat="1" applyFont="1" applyBorder="1"/>
    <xf numFmtId="166" fontId="13" fillId="0" borderId="5" xfId="0" applyNumberFormat="1" applyFont="1" applyBorder="1"/>
    <xf numFmtId="168" fontId="13" fillId="0" borderId="5" xfId="0" applyNumberFormat="1" applyFont="1" applyBorder="1"/>
    <xf numFmtId="168" fontId="13" fillId="0" borderId="0" xfId="0" applyNumberFormat="1" applyFont="1"/>
    <xf numFmtId="168" fontId="13" fillId="0" borderId="4" xfId="0" applyNumberFormat="1" applyFont="1" applyBorder="1"/>
    <xf numFmtId="167" fontId="13" fillId="0" borderId="6" xfId="0" applyNumberFormat="1" applyFont="1" applyBorder="1"/>
    <xf numFmtId="167" fontId="13" fillId="0" borderId="7" xfId="0" applyNumberFormat="1" applyFont="1" applyBorder="1"/>
    <xf numFmtId="166" fontId="13" fillId="0" borderId="5" xfId="0" applyNumberFormat="1" applyFont="1" applyBorder="1" applyAlignment="1">
      <alignment horizontal="right"/>
    </xf>
    <xf numFmtId="166" fontId="13" fillId="0" borderId="0" xfId="0" applyNumberFormat="1" applyFont="1" applyAlignment="1">
      <alignment horizontal="right"/>
    </xf>
    <xf numFmtId="166" fontId="13" fillId="0" borderId="4" xfId="0" applyNumberFormat="1" applyFont="1" applyBorder="1" applyAlignment="1">
      <alignment horizontal="right"/>
    </xf>
    <xf numFmtId="166" fontId="12" fillId="0" borderId="5" xfId="0" applyNumberFormat="1" applyFont="1" applyBorder="1"/>
    <xf numFmtId="166" fontId="12" fillId="0" borderId="0" xfId="0" applyNumberFormat="1" applyFont="1"/>
    <xf numFmtId="166" fontId="12" fillId="0" borderId="4" xfId="0" applyNumberFormat="1" applyFont="1" applyBorder="1"/>
    <xf numFmtId="0" fontId="12" fillId="0" borderId="5" xfId="0" applyFont="1" applyBorder="1"/>
    <xf numFmtId="0" fontId="12" fillId="0" borderId="0" xfId="0" applyFont="1"/>
    <xf numFmtId="0" fontId="12" fillId="0" borderId="4" xfId="0" applyFont="1" applyBorder="1"/>
    <xf numFmtId="0" fontId="13" fillId="0" borderId="5" xfId="0" applyFont="1" applyBorder="1"/>
    <xf numFmtId="0" fontId="13" fillId="0" borderId="0" xfId="0" applyFont="1"/>
    <xf numFmtId="0" fontId="13" fillId="0" borderId="4" xfId="0" applyFont="1" applyBorder="1"/>
    <xf numFmtId="2" fontId="13" fillId="0" borderId="5" xfId="0" applyNumberFormat="1" applyFont="1" applyBorder="1"/>
    <xf numFmtId="2" fontId="13" fillId="0" borderId="0" xfId="0" applyNumberFormat="1" applyFont="1"/>
    <xf numFmtId="2" fontId="13" fillId="0" borderId="4" xfId="0" applyNumberFormat="1" applyFont="1" applyBorder="1"/>
    <xf numFmtId="167" fontId="12" fillId="0" borderId="5" xfId="0" applyNumberFormat="1" applyFont="1" applyBorder="1"/>
    <xf numFmtId="167" fontId="12" fillId="0" borderId="0" xfId="0" applyNumberFormat="1" applyFont="1"/>
    <xf numFmtId="167" fontId="15" fillId="0" borderId="0" xfId="0" applyNumberFormat="1" applyFont="1"/>
    <xf numFmtId="0" fontId="0" fillId="0" borderId="0" xfId="0" quotePrefix="1" applyAlignment="1">
      <alignment horizontal="center"/>
    </xf>
    <xf numFmtId="167" fontId="13" fillId="2" borderId="0" xfId="0" applyNumberFormat="1" applyFont="1" applyFill="1"/>
    <xf numFmtId="166" fontId="13" fillId="2" borderId="0" xfId="0" applyNumberFormat="1" applyFont="1" applyFill="1"/>
    <xf numFmtId="0" fontId="11" fillId="0" borderId="5" xfId="0" applyFont="1" applyBorder="1"/>
    <xf numFmtId="166" fontId="11" fillId="0" borderId="5" xfId="0" applyNumberFormat="1" applyFont="1" applyBorder="1"/>
    <xf numFmtId="166" fontId="11" fillId="0" borderId="0" xfId="0" applyNumberFormat="1" applyFont="1"/>
    <xf numFmtId="166" fontId="11" fillId="0" borderId="4" xfId="0" applyNumberFormat="1" applyFont="1" applyBorder="1"/>
    <xf numFmtId="166" fontId="22" fillId="0" borderId="5" xfId="0" applyNumberFormat="1" applyFont="1" applyBorder="1"/>
    <xf numFmtId="166" fontId="22" fillId="0" borderId="0" xfId="0" applyNumberFormat="1" applyFont="1"/>
    <xf numFmtId="166" fontId="22" fillId="0" borderId="4" xfId="0" applyNumberFormat="1" applyFont="1" applyBorder="1"/>
    <xf numFmtId="168" fontId="11" fillId="0" borderId="5" xfId="0" applyNumberFormat="1" applyFont="1" applyBorder="1"/>
    <xf numFmtId="168" fontId="11" fillId="0" borderId="0" xfId="0" applyNumberFormat="1" applyFont="1"/>
    <xf numFmtId="168" fontId="11" fillId="0" borderId="4" xfId="0" applyNumberFormat="1" applyFont="1" applyBorder="1"/>
    <xf numFmtId="168" fontId="22" fillId="0" borderId="5" xfId="0" applyNumberFormat="1" applyFont="1" applyBorder="1"/>
    <xf numFmtId="168" fontId="22" fillId="0" borderId="0" xfId="0" applyNumberFormat="1" applyFont="1"/>
    <xf numFmtId="168" fontId="22" fillId="0" borderId="4" xfId="0" applyNumberFormat="1" applyFont="1" applyBorder="1"/>
    <xf numFmtId="167" fontId="11" fillId="0" borderId="5" xfId="0" applyNumberFormat="1" applyFont="1" applyBorder="1"/>
    <xf numFmtId="167" fontId="11" fillId="0" borderId="0" xfId="0" applyNumberFormat="1" applyFont="1"/>
    <xf numFmtId="167" fontId="11" fillId="0" borderId="4" xfId="0" applyNumberFormat="1" applyFont="1" applyBorder="1"/>
    <xf numFmtId="167" fontId="22" fillId="0" borderId="5" xfId="0" applyNumberFormat="1" applyFont="1" applyBorder="1"/>
    <xf numFmtId="167" fontId="22" fillId="0" borderId="0" xfId="0" applyNumberFormat="1" applyFont="1"/>
    <xf numFmtId="167" fontId="22" fillId="0" borderId="4" xfId="0" applyNumberFormat="1" applyFont="1" applyBorder="1"/>
    <xf numFmtId="167" fontId="22" fillId="0" borderId="11" xfId="0" applyNumberFormat="1" applyFont="1" applyBorder="1"/>
    <xf numFmtId="167" fontId="11" fillId="0" borderId="11" xfId="0" applyNumberFormat="1" applyFont="1" applyBorder="1"/>
    <xf numFmtId="167" fontId="11" fillId="0" borderId="12" xfId="0" applyNumberFormat="1" applyFont="1" applyBorder="1"/>
    <xf numFmtId="167" fontId="11" fillId="0" borderId="13" xfId="0" applyNumberFormat="1" applyFont="1" applyBorder="1"/>
    <xf numFmtId="167" fontId="22" fillId="0" borderId="12" xfId="0" applyNumberFormat="1" applyFont="1" applyBorder="1"/>
    <xf numFmtId="167" fontId="22" fillId="0" borderId="13" xfId="0" applyNumberFormat="1" applyFont="1" applyBorder="1"/>
    <xf numFmtId="2" fontId="11" fillId="0" borderId="5" xfId="0" applyNumberFormat="1" applyFont="1" applyBorder="1"/>
    <xf numFmtId="2" fontId="11" fillId="0" borderId="0" xfId="0" applyNumberFormat="1" applyFont="1"/>
    <xf numFmtId="2" fontId="11" fillId="0" borderId="4" xfId="0" applyNumberFormat="1" applyFont="1" applyBorder="1"/>
    <xf numFmtId="2" fontId="22" fillId="0" borderId="5" xfId="0" applyNumberFormat="1" applyFont="1" applyBorder="1"/>
    <xf numFmtId="2" fontId="22" fillId="0" borderId="0" xfId="0" applyNumberFormat="1" applyFont="1"/>
    <xf numFmtId="2" fontId="22" fillId="0" borderId="4" xfId="0" applyNumberFormat="1" applyFont="1" applyBorder="1"/>
    <xf numFmtId="16" fontId="22" fillId="3" borderId="0" xfId="0" quotePrefix="1" applyNumberFormat="1" applyFont="1" applyFill="1" applyAlignment="1">
      <alignment horizontal="center"/>
    </xf>
    <xf numFmtId="0" fontId="22" fillId="3" borderId="0" xfId="0" quotePrefix="1" applyFont="1" applyFill="1" applyAlignment="1">
      <alignment horizontal="center"/>
    </xf>
    <xf numFmtId="17" fontId="22" fillId="3" borderId="0" xfId="0" applyNumberFormat="1" applyFont="1" applyFill="1"/>
    <xf numFmtId="16" fontId="22" fillId="3" borderId="9" xfId="0" quotePrefix="1" applyNumberFormat="1" applyFont="1" applyFill="1" applyBorder="1" applyAlignment="1">
      <alignment horizontal="center"/>
    </xf>
    <xf numFmtId="16" fontId="22" fillId="3" borderId="8" xfId="0" quotePrefix="1" applyNumberFormat="1" applyFont="1" applyFill="1" applyBorder="1" applyAlignment="1">
      <alignment horizontal="center"/>
    </xf>
    <xf numFmtId="17" fontId="22" fillId="3" borderId="10" xfId="0" applyNumberFormat="1" applyFont="1" applyFill="1" applyBorder="1"/>
    <xf numFmtId="16" fontId="22" fillId="3" borderId="10" xfId="0" quotePrefix="1" applyNumberFormat="1" applyFont="1" applyFill="1" applyBorder="1" applyAlignment="1">
      <alignment horizontal="center"/>
    </xf>
    <xf numFmtId="17" fontId="22" fillId="3" borderId="9" xfId="0" applyNumberFormat="1" applyFont="1" applyFill="1" applyBorder="1"/>
    <xf numFmtId="17" fontId="22" fillId="3" borderId="8" xfId="0" applyNumberFormat="1" applyFont="1" applyFill="1" applyBorder="1"/>
    <xf numFmtId="17" fontId="22" fillId="3" borderId="9" xfId="0" applyNumberFormat="1" applyFont="1" applyFill="1" applyBorder="1" applyAlignment="1">
      <alignment horizontal="center"/>
    </xf>
    <xf numFmtId="17" fontId="22" fillId="3" borderId="8" xfId="0" applyNumberFormat="1" applyFont="1" applyFill="1" applyBorder="1" applyAlignment="1">
      <alignment horizontal="center"/>
    </xf>
    <xf numFmtId="166" fontId="13" fillId="3" borderId="1" xfId="0" applyNumberFormat="1" applyFont="1" applyFill="1" applyBorder="1"/>
    <xf numFmtId="166" fontId="13" fillId="3" borderId="14" xfId="0" applyNumberFormat="1" applyFont="1" applyFill="1" applyBorder="1"/>
    <xf numFmtId="166" fontId="13" fillId="3" borderId="2" xfId="0" applyNumberFormat="1" applyFont="1" applyFill="1" applyBorder="1"/>
    <xf numFmtId="0" fontId="13" fillId="3" borderId="1" xfId="0" applyFont="1" applyFill="1" applyBorder="1"/>
    <xf numFmtId="0" fontId="13" fillId="3" borderId="14" xfId="0" applyFont="1" applyFill="1" applyBorder="1"/>
    <xf numFmtId="0" fontId="13" fillId="3" borderId="2" xfId="0" applyFont="1" applyFill="1" applyBorder="1"/>
    <xf numFmtId="166" fontId="22" fillId="3" borderId="5" xfId="0" applyNumberFormat="1" applyFont="1" applyFill="1" applyBorder="1"/>
    <xf numFmtId="166" fontId="22" fillId="3" borderId="0" xfId="0" applyNumberFormat="1" applyFont="1" applyFill="1"/>
    <xf numFmtId="166" fontId="22" fillId="3" borderId="4" xfId="0" applyNumberFormat="1" applyFont="1" applyFill="1" applyBorder="1"/>
    <xf numFmtId="168" fontId="22" fillId="3" borderId="5" xfId="0" applyNumberFormat="1" applyFont="1" applyFill="1" applyBorder="1"/>
    <xf numFmtId="168" fontId="22" fillId="3" borderId="0" xfId="0" applyNumberFormat="1" applyFont="1" applyFill="1"/>
    <xf numFmtId="168" fontId="22" fillId="3" borderId="4" xfId="0" applyNumberFormat="1" applyFont="1" applyFill="1" applyBorder="1"/>
    <xf numFmtId="167" fontId="22" fillId="3" borderId="5" xfId="0" applyNumberFormat="1" applyFont="1" applyFill="1" applyBorder="1"/>
    <xf numFmtId="167" fontId="22" fillId="3" borderId="0" xfId="0" applyNumberFormat="1" applyFont="1" applyFill="1"/>
    <xf numFmtId="167" fontId="22" fillId="3" borderId="4" xfId="0" applyNumberFormat="1" applyFont="1" applyFill="1" applyBorder="1"/>
    <xf numFmtId="167" fontId="22" fillId="3" borderId="12" xfId="0" applyNumberFormat="1" applyFont="1" applyFill="1" applyBorder="1"/>
    <xf numFmtId="167" fontId="22" fillId="3" borderId="11" xfId="0" applyNumberFormat="1" applyFont="1" applyFill="1" applyBorder="1"/>
    <xf numFmtId="167" fontId="22" fillId="3" borderId="13" xfId="0" applyNumberFormat="1" applyFont="1" applyFill="1" applyBorder="1"/>
    <xf numFmtId="0" fontId="13" fillId="3" borderId="1" xfId="0" applyFont="1" applyFill="1" applyBorder="1" applyAlignment="1">
      <alignment horizontal="right"/>
    </xf>
    <xf numFmtId="0" fontId="13" fillId="3" borderId="2" xfId="0" applyFont="1" applyFill="1" applyBorder="1" applyAlignment="1">
      <alignment horizontal="right"/>
    </xf>
    <xf numFmtId="0" fontId="13" fillId="3" borderId="14" xfId="0" applyFont="1" applyFill="1" applyBorder="1" applyAlignment="1">
      <alignment horizontal="right"/>
    </xf>
    <xf numFmtId="167" fontId="13" fillId="3" borderId="5" xfId="0" applyNumberFormat="1" applyFont="1" applyFill="1" applyBorder="1"/>
    <xf numFmtId="167" fontId="13" fillId="3" borderId="0" xfId="0" applyNumberFormat="1" applyFont="1" applyFill="1"/>
    <xf numFmtId="167" fontId="13" fillId="3" borderId="4" xfId="0" applyNumberFormat="1" applyFont="1" applyFill="1" applyBorder="1"/>
    <xf numFmtId="167" fontId="22" fillId="3" borderId="15" xfId="0" applyNumberFormat="1" applyFont="1" applyFill="1" applyBorder="1"/>
    <xf numFmtId="2" fontId="22" fillId="3" borderId="5" xfId="0" applyNumberFormat="1" applyFont="1" applyFill="1" applyBorder="1"/>
    <xf numFmtId="2" fontId="22" fillId="3" borderId="0" xfId="0" applyNumberFormat="1" applyFont="1" applyFill="1"/>
    <xf numFmtId="2" fontId="22" fillId="3" borderId="4" xfId="0" applyNumberFormat="1" applyFont="1" applyFill="1" applyBorder="1"/>
    <xf numFmtId="0" fontId="13" fillId="4" borderId="10" xfId="0" applyFont="1" applyFill="1" applyBorder="1"/>
    <xf numFmtId="17" fontId="13" fillId="4" borderId="9" xfId="0" applyNumberFormat="1" applyFont="1" applyFill="1" applyBorder="1"/>
    <xf numFmtId="17" fontId="13" fillId="4" borderId="8" xfId="0" applyNumberFormat="1" applyFont="1" applyFill="1" applyBorder="1"/>
    <xf numFmtId="17" fontId="13" fillId="4" borderId="10" xfId="0" applyNumberFormat="1" applyFont="1" applyFill="1" applyBorder="1"/>
    <xf numFmtId="9" fontId="13" fillId="4" borderId="14" xfId="0" applyNumberFormat="1" applyFont="1" applyFill="1" applyBorder="1"/>
    <xf numFmtId="0" fontId="13" fillId="4" borderId="1" xfId="0" applyFont="1" applyFill="1" applyBorder="1"/>
    <xf numFmtId="0" fontId="13" fillId="4" borderId="2" xfId="0" applyFont="1" applyFill="1" applyBorder="1"/>
    <xf numFmtId="0" fontId="13" fillId="4" borderId="14" xfId="0" applyFont="1" applyFill="1" applyBorder="1"/>
    <xf numFmtId="166" fontId="22" fillId="4" borderId="5" xfId="0" applyNumberFormat="1" applyFont="1" applyFill="1" applyBorder="1"/>
    <xf numFmtId="166" fontId="22" fillId="4" borderId="0" xfId="0" applyNumberFormat="1" applyFont="1" applyFill="1"/>
    <xf numFmtId="166" fontId="22" fillId="4" borderId="4" xfId="0" applyNumberFormat="1" applyFont="1" applyFill="1" applyBorder="1"/>
    <xf numFmtId="168" fontId="22" fillId="4" borderId="5" xfId="0" applyNumberFormat="1" applyFont="1" applyFill="1" applyBorder="1"/>
    <xf numFmtId="168" fontId="22" fillId="4" borderId="0" xfId="0" applyNumberFormat="1" applyFont="1" applyFill="1"/>
    <xf numFmtId="168" fontId="22" fillId="4" borderId="4" xfId="0" applyNumberFormat="1" applyFont="1" applyFill="1" applyBorder="1"/>
    <xf numFmtId="167" fontId="22" fillId="4" borderId="12" xfId="0" applyNumberFormat="1" applyFont="1" applyFill="1" applyBorder="1"/>
    <xf numFmtId="167" fontId="22" fillId="4" borderId="11" xfId="0" applyNumberFormat="1" applyFont="1" applyFill="1" applyBorder="1"/>
    <xf numFmtId="167" fontId="22" fillId="4" borderId="13" xfId="0" applyNumberFormat="1" applyFont="1" applyFill="1" applyBorder="1"/>
    <xf numFmtId="0" fontId="11" fillId="4" borderId="5" xfId="0" applyFont="1" applyFill="1" applyBorder="1"/>
    <xf numFmtId="0" fontId="11" fillId="4" borderId="0" xfId="0" applyFont="1" applyFill="1"/>
    <xf numFmtId="0" fontId="11" fillId="4" borderId="4" xfId="0" applyFont="1" applyFill="1" applyBorder="1"/>
    <xf numFmtId="0" fontId="22" fillId="4" borderId="5" xfId="0" applyFont="1" applyFill="1" applyBorder="1"/>
    <xf numFmtId="167" fontId="22" fillId="4" borderId="5" xfId="0" applyNumberFormat="1" applyFont="1" applyFill="1" applyBorder="1"/>
    <xf numFmtId="167" fontId="22" fillId="4" borderId="0" xfId="0" applyNumberFormat="1" applyFont="1" applyFill="1"/>
    <xf numFmtId="167" fontId="22" fillId="4" borderId="4" xfId="0" applyNumberFormat="1" applyFont="1" applyFill="1" applyBorder="1"/>
    <xf numFmtId="171" fontId="22" fillId="4" borderId="5" xfId="1" applyNumberFormat="1" applyFont="1" applyFill="1" applyBorder="1"/>
    <xf numFmtId="171" fontId="22" fillId="4" borderId="0" xfId="1" applyNumberFormat="1" applyFont="1" applyFill="1" applyBorder="1"/>
    <xf numFmtId="171" fontId="22" fillId="4" borderId="4" xfId="1" applyNumberFormat="1" applyFont="1" applyFill="1" applyBorder="1"/>
    <xf numFmtId="171" fontId="11" fillId="4" borderId="0" xfId="1" applyNumberFormat="1" applyFont="1" applyFill="1" applyBorder="1"/>
    <xf numFmtId="171" fontId="11" fillId="4" borderId="4" xfId="1" applyNumberFormat="1" applyFont="1" applyFill="1" applyBorder="1"/>
    <xf numFmtId="0" fontId="23" fillId="4" borderId="14" xfId="0" applyFont="1" applyFill="1" applyBorder="1"/>
    <xf numFmtId="0" fontId="9" fillId="6" borderId="1" xfId="0" applyFont="1" applyFill="1" applyBorder="1"/>
    <xf numFmtId="0" fontId="22" fillId="4" borderId="0" xfId="0" applyFont="1" applyFill="1"/>
    <xf numFmtId="0" fontId="22" fillId="3" borderId="2" xfId="0" applyFont="1" applyFill="1" applyBorder="1"/>
    <xf numFmtId="0" fontId="22" fillId="3" borderId="9" xfId="0" applyFont="1" applyFill="1" applyBorder="1"/>
    <xf numFmtId="0" fontId="23" fillId="3" borderId="2" xfId="0" applyFont="1" applyFill="1" applyBorder="1"/>
    <xf numFmtId="0" fontId="22" fillId="3" borderId="14" xfId="0" applyFont="1" applyFill="1" applyBorder="1"/>
    <xf numFmtId="166" fontId="14" fillId="2" borderId="0" xfId="0" applyNumberFormat="1" applyFont="1" applyFill="1"/>
    <xf numFmtId="167" fontId="0" fillId="2" borderId="0" xfId="0" applyNumberFormat="1" applyFill="1"/>
    <xf numFmtId="167" fontId="13" fillId="7" borderId="0" xfId="0" applyNumberFormat="1" applyFont="1" applyFill="1"/>
    <xf numFmtId="167" fontId="0" fillId="7" borderId="0" xfId="0" applyNumberFormat="1" applyFill="1"/>
    <xf numFmtId="166" fontId="13" fillId="7" borderId="0" xfId="0" applyNumberFormat="1" applyFont="1" applyFill="1"/>
    <xf numFmtId="166" fontId="0" fillId="7" borderId="0" xfId="0" applyNumberFormat="1" applyFill="1"/>
    <xf numFmtId="166" fontId="13" fillId="0" borderId="3" xfId="0" applyNumberFormat="1" applyFont="1" applyBorder="1"/>
    <xf numFmtId="166" fontId="0" fillId="0" borderId="6" xfId="0" applyNumberFormat="1" applyBorder="1"/>
    <xf numFmtId="166" fontId="0" fillId="0" borderId="7" xfId="0" applyNumberFormat="1" applyBorder="1"/>
    <xf numFmtId="166" fontId="12" fillId="0" borderId="6" xfId="0" applyNumberFormat="1" applyFont="1" applyBorder="1"/>
    <xf numFmtId="166" fontId="12" fillId="0" borderId="3" xfId="0" applyNumberFormat="1" applyFont="1" applyBorder="1"/>
    <xf numFmtId="166" fontId="12" fillId="0" borderId="7" xfId="0" applyNumberFormat="1" applyFont="1" applyBorder="1"/>
    <xf numFmtId="0" fontId="22" fillId="0" borderId="0" xfId="0" applyFont="1"/>
    <xf numFmtId="166" fontId="14" fillId="0" borderId="0" xfId="0" applyNumberFormat="1" applyFont="1"/>
    <xf numFmtId="166" fontId="13" fillId="0" borderId="7" xfId="0" applyNumberFormat="1" applyFont="1" applyBorder="1"/>
    <xf numFmtId="0" fontId="13" fillId="7" borderId="0" xfId="0" applyFont="1" applyFill="1"/>
    <xf numFmtId="0" fontId="0" fillId="7" borderId="0" xfId="0" applyFill="1"/>
    <xf numFmtId="0" fontId="23" fillId="4" borderId="2" xfId="0" applyFont="1" applyFill="1" applyBorder="1"/>
    <xf numFmtId="0" fontId="13" fillId="4" borderId="9" xfId="0" applyFont="1" applyFill="1" applyBorder="1"/>
    <xf numFmtId="17" fontId="13" fillId="4" borderId="14" xfId="0" applyNumberFormat="1" applyFont="1" applyFill="1" applyBorder="1"/>
    <xf numFmtId="17" fontId="13" fillId="4" borderId="1" xfId="0" applyNumberFormat="1" applyFont="1" applyFill="1" applyBorder="1"/>
    <xf numFmtId="17" fontId="13" fillId="4" borderId="2" xfId="0" applyNumberFormat="1" applyFont="1" applyFill="1" applyBorder="1"/>
    <xf numFmtId="166" fontId="11" fillId="3" borderId="0" xfId="0" applyNumberFormat="1" applyFont="1" applyFill="1"/>
    <xf numFmtId="168" fontId="11" fillId="3" borderId="0" xfId="0" applyNumberFormat="1" applyFont="1" applyFill="1"/>
    <xf numFmtId="167" fontId="11" fillId="3" borderId="0" xfId="0" applyNumberFormat="1" applyFont="1" applyFill="1"/>
    <xf numFmtId="0" fontId="10" fillId="5" borderId="14" xfId="0" applyFont="1" applyFill="1" applyBorder="1"/>
    <xf numFmtId="0" fontId="26" fillId="5" borderId="2" xfId="0" applyFont="1" applyFill="1" applyBorder="1"/>
    <xf numFmtId="0" fontId="9" fillId="5" borderId="1" xfId="0" applyFont="1" applyFill="1" applyBorder="1"/>
    <xf numFmtId="0" fontId="9" fillId="5" borderId="14" xfId="0" applyFont="1" applyFill="1" applyBorder="1"/>
    <xf numFmtId="0" fontId="9" fillId="5" borderId="2" xfId="0" applyFont="1" applyFill="1" applyBorder="1"/>
    <xf numFmtId="172" fontId="22" fillId="4" borderId="0" xfId="1" applyNumberFormat="1" applyFont="1" applyFill="1" applyBorder="1"/>
    <xf numFmtId="0" fontId="0" fillId="5" borderId="5" xfId="0" applyFill="1" applyBorder="1"/>
    <xf numFmtId="166" fontId="9" fillId="8" borderId="5" xfId="0" applyNumberFormat="1" applyFont="1" applyFill="1" applyBorder="1"/>
    <xf numFmtId="0" fontId="9" fillId="8" borderId="0" xfId="0" applyFont="1" applyFill="1"/>
    <xf numFmtId="0" fontId="9" fillId="8" borderId="4" xfId="0" applyFont="1" applyFill="1" applyBorder="1"/>
    <xf numFmtId="0" fontId="9" fillId="8" borderId="5" xfId="0" applyFont="1" applyFill="1" applyBorder="1"/>
    <xf numFmtId="0" fontId="27" fillId="8" borderId="4" xfId="0" applyFont="1" applyFill="1" applyBorder="1"/>
    <xf numFmtId="0" fontId="9" fillId="5" borderId="0" xfId="0" applyFont="1" applyFill="1" applyAlignment="1">
      <alignment wrapText="1"/>
    </xf>
    <xf numFmtId="0" fontId="9" fillId="5" borderId="0" xfId="0" applyFont="1" applyFill="1"/>
    <xf numFmtId="167" fontId="9" fillId="5" borderId="5" xfId="0" applyNumberFormat="1" applyFont="1" applyFill="1" applyBorder="1"/>
    <xf numFmtId="167" fontId="9" fillId="5" borderId="0" xfId="0" applyNumberFormat="1" applyFont="1" applyFill="1"/>
    <xf numFmtId="0" fontId="0" fillId="9" borderId="0" xfId="0" applyFill="1"/>
    <xf numFmtId="0" fontId="9" fillId="5" borderId="5" xfId="0" applyFont="1" applyFill="1" applyBorder="1" applyAlignment="1">
      <alignment wrapText="1"/>
    </xf>
    <xf numFmtId="167" fontId="13" fillId="9" borderId="5" xfId="0" applyNumberFormat="1" applyFont="1" applyFill="1" applyBorder="1"/>
    <xf numFmtId="171" fontId="13" fillId="9" borderId="5" xfId="1" applyNumberFormat="1" applyFont="1" applyFill="1" applyBorder="1"/>
    <xf numFmtId="0" fontId="23" fillId="4" borderId="1" xfId="0" applyFont="1" applyFill="1" applyBorder="1"/>
    <xf numFmtId="166" fontId="13" fillId="9" borderId="5" xfId="0" applyNumberFormat="1" applyFont="1" applyFill="1" applyBorder="1"/>
    <xf numFmtId="166" fontId="13" fillId="9" borderId="0" xfId="0" applyNumberFormat="1" applyFont="1" applyFill="1"/>
    <xf numFmtId="166" fontId="9" fillId="9" borderId="4" xfId="0" applyNumberFormat="1" applyFont="1" applyFill="1" applyBorder="1" applyAlignment="1">
      <alignment horizontal="right"/>
    </xf>
    <xf numFmtId="166" fontId="9" fillId="9" borderId="5" xfId="0" applyNumberFormat="1" applyFont="1" applyFill="1" applyBorder="1" applyAlignment="1">
      <alignment horizontal="right"/>
    </xf>
    <xf numFmtId="166" fontId="9" fillId="9" borderId="0" xfId="0" applyNumberFormat="1" applyFont="1" applyFill="1" applyAlignment="1">
      <alignment horizontal="right"/>
    </xf>
    <xf numFmtId="171" fontId="9" fillId="9" borderId="4" xfId="1" applyNumberFormat="1" applyFont="1" applyFill="1" applyBorder="1" applyAlignment="1">
      <alignment horizontal="center"/>
    </xf>
    <xf numFmtId="171" fontId="9" fillId="9" borderId="0" xfId="1" applyNumberFormat="1" applyFont="1" applyFill="1" applyBorder="1" applyAlignment="1">
      <alignment horizontal="center"/>
    </xf>
    <xf numFmtId="171" fontId="9" fillId="9" borderId="5" xfId="1" applyNumberFormat="1" applyFont="1" applyFill="1" applyBorder="1" applyAlignment="1">
      <alignment horizontal="center"/>
    </xf>
    <xf numFmtId="167" fontId="13" fillId="9" borderId="0" xfId="0" applyNumberFormat="1" applyFont="1" applyFill="1"/>
    <xf numFmtId="167" fontId="13" fillId="9" borderId="4" xfId="0" applyNumberFormat="1" applyFont="1" applyFill="1" applyBorder="1"/>
    <xf numFmtId="169" fontId="0" fillId="9" borderId="0" xfId="0" applyNumberFormat="1" applyFill="1"/>
    <xf numFmtId="0" fontId="9" fillId="9" borderId="4" xfId="0" applyFont="1" applyFill="1" applyBorder="1"/>
    <xf numFmtId="0" fontId="0" fillId="9" borderId="5" xfId="0" applyFill="1" applyBorder="1"/>
    <xf numFmtId="171" fontId="8" fillId="9" borderId="5" xfId="1" applyNumberFormat="1" applyFont="1" applyFill="1" applyBorder="1"/>
    <xf numFmtId="0" fontId="0" fillId="9" borderId="4" xfId="0" applyFill="1" applyBorder="1"/>
    <xf numFmtId="0" fontId="0" fillId="9" borderId="16" xfId="0" applyFill="1" applyBorder="1"/>
    <xf numFmtId="0" fontId="28" fillId="4" borderId="1" xfId="0" applyFont="1" applyFill="1" applyBorder="1"/>
    <xf numFmtId="0" fontId="28" fillId="4" borderId="2" xfId="0" applyFont="1" applyFill="1" applyBorder="1"/>
    <xf numFmtId="0" fontId="23" fillId="4" borderId="5" xfId="0" applyFont="1" applyFill="1" applyBorder="1"/>
    <xf numFmtId="0" fontId="23" fillId="4" borderId="0" xfId="0" applyFont="1" applyFill="1"/>
    <xf numFmtId="0" fontId="28" fillId="4" borderId="0" xfId="0" applyFont="1" applyFill="1"/>
    <xf numFmtId="0" fontId="28" fillId="4" borderId="4" xfId="0" applyFont="1" applyFill="1" applyBorder="1"/>
    <xf numFmtId="0" fontId="13" fillId="4" borderId="0" xfId="0" applyFont="1" applyFill="1"/>
    <xf numFmtId="9" fontId="13" fillId="4" borderId="1" xfId="0" applyNumberFormat="1" applyFont="1" applyFill="1" applyBorder="1"/>
    <xf numFmtId="9" fontId="8" fillId="9" borderId="5" xfId="3" applyFont="1" applyFill="1" applyBorder="1"/>
    <xf numFmtId="171" fontId="8" fillId="9" borderId="9" xfId="1" applyNumberFormat="1" applyFont="1" applyFill="1" applyBorder="1"/>
    <xf numFmtId="9" fontId="8" fillId="9" borderId="9" xfId="3" applyFont="1" applyFill="1" applyBorder="1"/>
    <xf numFmtId="9" fontId="28" fillId="4" borderId="14" xfId="0" applyNumberFormat="1" applyFont="1" applyFill="1" applyBorder="1"/>
    <xf numFmtId="0" fontId="28" fillId="4" borderId="14" xfId="0" applyFont="1" applyFill="1" applyBorder="1"/>
    <xf numFmtId="171" fontId="13" fillId="9" borderId="0" xfId="1" applyNumberFormat="1" applyFont="1" applyFill="1" applyBorder="1"/>
    <xf numFmtId="0" fontId="13" fillId="9" borderId="0" xfId="0" applyFont="1" applyFill="1"/>
    <xf numFmtId="167" fontId="13" fillId="9" borderId="3" xfId="0" applyNumberFormat="1" applyFont="1" applyFill="1" applyBorder="1"/>
    <xf numFmtId="2" fontId="13" fillId="9" borderId="0" xfId="0" applyNumberFormat="1" applyFont="1" applyFill="1"/>
    <xf numFmtId="2" fontId="22" fillId="4" borderId="0" xfId="0" applyNumberFormat="1" applyFont="1" applyFill="1"/>
    <xf numFmtId="40" fontId="22" fillId="4" borderId="0" xfId="0" applyNumberFormat="1" applyFont="1" applyFill="1"/>
    <xf numFmtId="164" fontId="22" fillId="4" borderId="0" xfId="0" applyNumberFormat="1" applyFont="1" applyFill="1"/>
    <xf numFmtId="166" fontId="0" fillId="9" borderId="0" xfId="0" applyNumberFormat="1" applyFill="1"/>
    <xf numFmtId="167" fontId="0" fillId="9" borderId="4" xfId="0" applyNumberFormat="1" applyFill="1" applyBorder="1"/>
    <xf numFmtId="0" fontId="0" fillId="10" borderId="16" xfId="0" applyFill="1" applyBorder="1"/>
    <xf numFmtId="0" fontId="0" fillId="10" borderId="0" xfId="0" applyFill="1"/>
    <xf numFmtId="171" fontId="8" fillId="9" borderId="0" xfId="1" applyNumberFormat="1" applyFont="1" applyFill="1" applyBorder="1"/>
    <xf numFmtId="171" fontId="11" fillId="9" borderId="8" xfId="0" applyNumberFormat="1" applyFont="1" applyFill="1" applyBorder="1"/>
    <xf numFmtId="171" fontId="8" fillId="9" borderId="3" xfId="1" applyNumberFormat="1" applyFont="1" applyFill="1" applyBorder="1"/>
    <xf numFmtId="171" fontId="11" fillId="9" borderId="1" xfId="0" applyNumberFormat="1" applyFont="1" applyFill="1" applyBorder="1"/>
    <xf numFmtId="17" fontId="0" fillId="9" borderId="8" xfId="0" applyNumberFormat="1" applyFill="1" applyBorder="1"/>
    <xf numFmtId="17" fontId="22" fillId="3" borderId="10" xfId="0" applyNumberFormat="1" applyFont="1" applyFill="1" applyBorder="1" applyAlignment="1">
      <alignment horizontal="center"/>
    </xf>
    <xf numFmtId="166" fontId="13" fillId="9" borderId="4" xfId="0" applyNumberFormat="1" applyFont="1" applyFill="1" applyBorder="1"/>
    <xf numFmtId="0" fontId="9" fillId="5" borderId="4" xfId="0" applyFont="1" applyFill="1" applyBorder="1" applyAlignment="1">
      <alignment wrapText="1"/>
    </xf>
    <xf numFmtId="167" fontId="9" fillId="5" borderId="4" xfId="0" applyNumberFormat="1" applyFont="1" applyFill="1" applyBorder="1"/>
    <xf numFmtId="166" fontId="0" fillId="9" borderId="5" xfId="0" applyNumberFormat="1" applyFill="1" applyBorder="1"/>
    <xf numFmtId="2" fontId="22" fillId="4" borderId="5" xfId="0" applyNumberFormat="1" applyFont="1" applyFill="1" applyBorder="1"/>
    <xf numFmtId="40" fontId="22" fillId="4" borderId="5" xfId="0" applyNumberFormat="1" applyFont="1" applyFill="1" applyBorder="1"/>
    <xf numFmtId="164" fontId="22" fillId="4" borderId="5" xfId="0" applyNumberFormat="1" applyFont="1" applyFill="1" applyBorder="1"/>
    <xf numFmtId="0" fontId="0" fillId="10" borderId="5" xfId="0" applyFill="1" applyBorder="1"/>
    <xf numFmtId="171" fontId="11" fillId="9" borderId="9" xfId="0" applyNumberFormat="1" applyFont="1" applyFill="1" applyBorder="1"/>
    <xf numFmtId="171" fontId="8" fillId="9" borderId="6" xfId="1" applyNumberFormat="1" applyFont="1" applyFill="1" applyBorder="1"/>
    <xf numFmtId="171" fontId="11" fillId="9" borderId="14" xfId="0" applyNumberFormat="1" applyFont="1" applyFill="1" applyBorder="1"/>
    <xf numFmtId="17" fontId="0" fillId="9" borderId="9" xfId="0" applyNumberFormat="1" applyFill="1" applyBorder="1"/>
    <xf numFmtId="0" fontId="13" fillId="4" borderId="5" xfId="0" applyFont="1" applyFill="1" applyBorder="1"/>
    <xf numFmtId="171" fontId="0" fillId="9" borderId="5" xfId="1" applyNumberFormat="1" applyFont="1" applyFill="1" applyBorder="1"/>
    <xf numFmtId="171" fontId="0" fillId="9" borderId="0" xfId="1" applyNumberFormat="1" applyFont="1" applyFill="1" applyBorder="1"/>
    <xf numFmtId="170" fontId="13" fillId="9" borderId="5" xfId="1" applyNumberFormat="1" applyFont="1" applyFill="1" applyBorder="1"/>
    <xf numFmtId="170" fontId="13" fillId="9" borderId="0" xfId="1" applyNumberFormat="1" applyFont="1" applyFill="1" applyBorder="1"/>
    <xf numFmtId="167" fontId="13" fillId="9" borderId="6" xfId="0" applyNumberFormat="1" applyFont="1" applyFill="1" applyBorder="1"/>
    <xf numFmtId="169" fontId="13" fillId="9" borderId="0" xfId="0" applyNumberFormat="1" applyFont="1" applyFill="1"/>
    <xf numFmtId="40" fontId="13" fillId="9" borderId="0" xfId="0" applyNumberFormat="1" applyFont="1" applyFill="1"/>
    <xf numFmtId="38" fontId="13" fillId="9" borderId="0" xfId="0" applyNumberFormat="1" applyFont="1" applyFill="1"/>
    <xf numFmtId="167" fontId="13" fillId="9" borderId="9" xfId="0" applyNumberFormat="1" applyFont="1" applyFill="1" applyBorder="1"/>
    <xf numFmtId="175" fontId="13" fillId="9" borderId="5" xfId="0" applyNumberFormat="1" applyFont="1" applyFill="1" applyBorder="1"/>
    <xf numFmtId="175" fontId="13" fillId="9" borderId="9" xfId="0" applyNumberFormat="1" applyFont="1" applyFill="1" applyBorder="1"/>
    <xf numFmtId="175" fontId="13" fillId="9" borderId="6" xfId="0" applyNumberFormat="1" applyFont="1" applyFill="1" applyBorder="1"/>
    <xf numFmtId="166" fontId="9" fillId="9" borderId="0" xfId="0" applyNumberFormat="1" applyFont="1" applyFill="1"/>
    <xf numFmtId="0" fontId="9" fillId="9" borderId="0" xfId="0" applyFont="1" applyFill="1"/>
    <xf numFmtId="166" fontId="9" fillId="9" borderId="5" xfId="0" applyNumberFormat="1" applyFont="1" applyFill="1" applyBorder="1"/>
    <xf numFmtId="0" fontId="9" fillId="9" borderId="5" xfId="0" applyFont="1" applyFill="1" applyBorder="1"/>
    <xf numFmtId="0" fontId="13" fillId="9" borderId="5" xfId="0" applyFont="1" applyFill="1" applyBorder="1"/>
    <xf numFmtId="169" fontId="13" fillId="9" borderId="5" xfId="0" applyNumberFormat="1" applyFont="1" applyFill="1" applyBorder="1"/>
    <xf numFmtId="0" fontId="11" fillId="9" borderId="4" xfId="0" applyFont="1" applyFill="1" applyBorder="1"/>
    <xf numFmtId="166" fontId="0" fillId="9" borderId="4" xfId="0" applyNumberFormat="1" applyFill="1" applyBorder="1"/>
    <xf numFmtId="0" fontId="17" fillId="9" borderId="4" xfId="0" applyFont="1" applyFill="1" applyBorder="1"/>
    <xf numFmtId="0" fontId="16" fillId="9" borderId="0" xfId="0" applyFont="1" applyFill="1"/>
    <xf numFmtId="0" fontId="16" fillId="9" borderId="5" xfId="0" applyFont="1" applyFill="1" applyBorder="1"/>
    <xf numFmtId="0" fontId="16" fillId="9" borderId="4" xfId="0" applyFont="1" applyFill="1" applyBorder="1"/>
    <xf numFmtId="0" fontId="17" fillId="9" borderId="0" xfId="0" applyFont="1" applyFill="1"/>
    <xf numFmtId="168" fontId="13" fillId="9" borderId="0" xfId="0" applyNumberFormat="1" applyFont="1" applyFill="1"/>
    <xf numFmtId="168" fontId="0" fillId="9" borderId="0" xfId="0" applyNumberFormat="1" applyFill="1"/>
    <xf numFmtId="168" fontId="0" fillId="9" borderId="5" xfId="0" applyNumberFormat="1" applyFill="1" applyBorder="1"/>
    <xf numFmtId="168" fontId="0" fillId="9" borderId="4" xfId="0" applyNumberFormat="1" applyFill="1" applyBorder="1"/>
    <xf numFmtId="168" fontId="13" fillId="9" borderId="5" xfId="0" applyNumberFormat="1" applyFont="1" applyFill="1" applyBorder="1"/>
    <xf numFmtId="168" fontId="13" fillId="9" borderId="4" xfId="0" applyNumberFormat="1" applyFont="1" applyFill="1" applyBorder="1"/>
    <xf numFmtId="167" fontId="11" fillId="9" borderId="4" xfId="0" applyNumberFormat="1" applyFont="1" applyFill="1" applyBorder="1"/>
    <xf numFmtId="0" fontId="21" fillId="9" borderId="4" xfId="0" applyFont="1" applyFill="1" applyBorder="1"/>
    <xf numFmtId="0" fontId="0" fillId="9" borderId="7" xfId="0" applyFill="1" applyBorder="1"/>
    <xf numFmtId="0" fontId="11" fillId="9" borderId="5" xfId="0" applyFont="1" applyFill="1" applyBorder="1"/>
    <xf numFmtId="0" fontId="0" fillId="9" borderId="6" xfId="0" applyFill="1" applyBorder="1"/>
    <xf numFmtId="0" fontId="19" fillId="9" borderId="4" xfId="0" applyFont="1" applyFill="1" applyBorder="1"/>
    <xf numFmtId="168" fontId="11" fillId="9" borderId="4" xfId="0" applyNumberFormat="1" applyFont="1" applyFill="1" applyBorder="1"/>
    <xf numFmtId="0" fontId="11" fillId="9" borderId="7" xfId="0" applyFont="1" applyFill="1" applyBorder="1"/>
    <xf numFmtId="0" fontId="12" fillId="9" borderId="5" xfId="0" applyFont="1" applyFill="1" applyBorder="1"/>
    <xf numFmtId="0" fontId="12" fillId="9" borderId="0" xfId="0" applyFont="1" applyFill="1"/>
    <xf numFmtId="0" fontId="0" fillId="9" borderId="3" xfId="0" applyFill="1" applyBorder="1"/>
    <xf numFmtId="167" fontId="0" fillId="9" borderId="5" xfId="0" applyNumberFormat="1" applyFill="1" applyBorder="1"/>
    <xf numFmtId="167" fontId="13" fillId="9" borderId="7" xfId="0" applyNumberFormat="1" applyFont="1" applyFill="1" applyBorder="1"/>
    <xf numFmtId="167" fontId="12" fillId="9" borderId="5" xfId="0" applyNumberFormat="1" applyFont="1" applyFill="1" applyBorder="1"/>
    <xf numFmtId="2" fontId="13" fillId="9" borderId="5" xfId="0" applyNumberFormat="1" applyFont="1" applyFill="1" applyBorder="1"/>
    <xf numFmtId="2" fontId="13" fillId="9" borderId="4" xfId="0" applyNumberFormat="1" applyFont="1" applyFill="1" applyBorder="1"/>
    <xf numFmtId="0" fontId="24" fillId="9" borderId="0" xfId="0" applyFont="1" applyFill="1"/>
    <xf numFmtId="165" fontId="8" fillId="9" borderId="5" xfId="1" applyFont="1" applyFill="1" applyBorder="1"/>
    <xf numFmtId="167" fontId="0" fillId="9" borderId="0" xfId="0" applyNumberFormat="1" applyFill="1"/>
    <xf numFmtId="166" fontId="13" fillId="9" borderId="5" xfId="0" applyNumberFormat="1" applyFont="1" applyFill="1" applyBorder="1" applyAlignment="1">
      <alignment horizontal="right"/>
    </xf>
    <xf numFmtId="168" fontId="13" fillId="9" borderId="0" xfId="0" applyNumberFormat="1" applyFont="1" applyFill="1" applyAlignment="1">
      <alignment horizontal="right"/>
    </xf>
    <xf numFmtId="2" fontId="0" fillId="9" borderId="0" xfId="0" applyNumberFormat="1" applyFill="1"/>
    <xf numFmtId="167" fontId="0" fillId="9" borderId="3" xfId="0" applyNumberFormat="1" applyFill="1" applyBorder="1"/>
    <xf numFmtId="0" fontId="13" fillId="9" borderId="4" xfId="0" applyFont="1" applyFill="1" applyBorder="1"/>
    <xf numFmtId="0" fontId="20" fillId="9" borderId="4" xfId="0" applyFont="1" applyFill="1" applyBorder="1"/>
    <xf numFmtId="0" fontId="18" fillId="9" borderId="4" xfId="0" applyFont="1" applyFill="1" applyBorder="1"/>
    <xf numFmtId="0" fontId="17" fillId="9" borderId="3" xfId="0" applyFont="1" applyFill="1" applyBorder="1"/>
    <xf numFmtId="0" fontId="17" fillId="9" borderId="10" xfId="0" applyFont="1" applyFill="1" applyBorder="1"/>
    <xf numFmtId="0" fontId="11" fillId="9" borderId="10" xfId="0" applyFont="1" applyFill="1" applyBorder="1"/>
    <xf numFmtId="0" fontId="11" fillId="9" borderId="2" xfId="0" applyFont="1" applyFill="1" applyBorder="1"/>
    <xf numFmtId="0" fontId="0" fillId="9" borderId="8" xfId="0" applyFill="1" applyBorder="1"/>
    <xf numFmtId="17" fontId="0" fillId="9" borderId="9" xfId="0" applyNumberFormat="1" applyFill="1" applyBorder="1" applyAlignment="1">
      <alignment horizontal="center"/>
    </xf>
    <xf numFmtId="9" fontId="8" fillId="9" borderId="0" xfId="3" applyFont="1" applyFill="1" applyBorder="1"/>
    <xf numFmtId="0" fontId="0" fillId="9" borderId="1" xfId="0" applyFill="1" applyBorder="1"/>
    <xf numFmtId="9" fontId="11" fillId="9" borderId="14" xfId="3" applyFont="1" applyFill="1" applyBorder="1"/>
    <xf numFmtId="9" fontId="11" fillId="9" borderId="1" xfId="3" applyFont="1" applyFill="1" applyBorder="1"/>
    <xf numFmtId="0" fontId="10" fillId="9" borderId="0" xfId="0" applyFont="1" applyFill="1"/>
    <xf numFmtId="171" fontId="10" fillId="9" borderId="0" xfId="0" applyNumberFormat="1" applyFont="1" applyFill="1"/>
    <xf numFmtId="0" fontId="30" fillId="9" borderId="0" xfId="0" applyFont="1" applyFill="1"/>
    <xf numFmtId="0" fontId="31" fillId="9" borderId="0" xfId="0" applyFont="1" applyFill="1"/>
    <xf numFmtId="14" fontId="0" fillId="9" borderId="0" xfId="0" quotePrefix="1" applyNumberFormat="1" applyFill="1" applyAlignment="1">
      <alignment horizontal="left"/>
    </xf>
    <xf numFmtId="3" fontId="0" fillId="9" borderId="0" xfId="0" applyNumberFormat="1" applyFill="1"/>
    <xf numFmtId="0" fontId="32" fillId="9" borderId="0" xfId="0" applyFont="1" applyFill="1"/>
    <xf numFmtId="3" fontId="13" fillId="9" borderId="0" xfId="0" applyNumberFormat="1" applyFont="1" applyFill="1"/>
    <xf numFmtId="0" fontId="11" fillId="9" borderId="0" xfId="0" applyFont="1" applyFill="1"/>
    <xf numFmtId="0" fontId="0" fillId="9" borderId="9" xfId="0" applyFill="1" applyBorder="1"/>
    <xf numFmtId="1" fontId="0" fillId="9" borderId="5" xfId="0" applyNumberFormat="1" applyFill="1" applyBorder="1"/>
    <xf numFmtId="2" fontId="0" fillId="9" borderId="4" xfId="0" applyNumberFormat="1" applyFill="1" applyBorder="1"/>
    <xf numFmtId="40" fontId="13" fillId="9" borderId="5" xfId="0" applyNumberFormat="1" applyFont="1" applyFill="1" applyBorder="1"/>
    <xf numFmtId="171" fontId="8" fillId="9" borderId="4" xfId="1" applyNumberFormat="1" applyFont="1" applyFill="1" applyBorder="1"/>
    <xf numFmtId="38" fontId="13" fillId="9" borderId="5" xfId="0" applyNumberFormat="1" applyFont="1" applyFill="1" applyBorder="1"/>
    <xf numFmtId="169" fontId="0" fillId="9" borderId="4" xfId="0" applyNumberFormat="1" applyFill="1" applyBorder="1"/>
    <xf numFmtId="170" fontId="8" fillId="9" borderId="0" xfId="1" applyNumberFormat="1" applyFont="1" applyFill="1" applyBorder="1"/>
    <xf numFmtId="169" fontId="13" fillId="9" borderId="4" xfId="0" applyNumberFormat="1" applyFont="1" applyFill="1" applyBorder="1"/>
    <xf numFmtId="173" fontId="13" fillId="9" borderId="5" xfId="1" applyNumberFormat="1" applyFont="1" applyFill="1" applyBorder="1"/>
    <xf numFmtId="173" fontId="13" fillId="9" borderId="0" xfId="1" applyNumberFormat="1" applyFont="1" applyFill="1" applyBorder="1"/>
    <xf numFmtId="1" fontId="13" fillId="9" borderId="0" xfId="0" applyNumberFormat="1" applyFont="1" applyFill="1"/>
    <xf numFmtId="1" fontId="13" fillId="9" borderId="5" xfId="0" applyNumberFormat="1" applyFont="1" applyFill="1" applyBorder="1"/>
    <xf numFmtId="166" fontId="13" fillId="9" borderId="6" xfId="0" applyNumberFormat="1" applyFont="1" applyFill="1" applyBorder="1"/>
    <xf numFmtId="170" fontId="8" fillId="9" borderId="4" xfId="1" applyNumberFormat="1" applyFont="1" applyFill="1" applyBorder="1"/>
    <xf numFmtId="170" fontId="8" fillId="9" borderId="5" xfId="1" applyNumberFormat="1" applyFont="1" applyFill="1" applyBorder="1"/>
    <xf numFmtId="165" fontId="13" fillId="9" borderId="0" xfId="1" applyFont="1" applyFill="1" applyBorder="1"/>
    <xf numFmtId="165" fontId="13" fillId="9" borderId="5" xfId="1" applyFont="1" applyFill="1" applyBorder="1"/>
    <xf numFmtId="1" fontId="0" fillId="9" borderId="0" xfId="0" applyNumberFormat="1" applyFill="1"/>
    <xf numFmtId="171" fontId="16" fillId="9" borderId="5" xfId="1" applyNumberFormat="1" applyFont="1" applyFill="1" applyBorder="1"/>
    <xf numFmtId="171" fontId="16" fillId="9" borderId="0" xfId="1" applyNumberFormat="1" applyFont="1" applyFill="1" applyBorder="1"/>
    <xf numFmtId="18" fontId="0" fillId="9" borderId="5" xfId="0" applyNumberFormat="1" applyFill="1" applyBorder="1"/>
    <xf numFmtId="164" fontId="13" fillId="9" borderId="0" xfId="0" applyNumberFormat="1" applyFont="1" applyFill="1"/>
    <xf numFmtId="164" fontId="13" fillId="9" borderId="5" xfId="0" applyNumberFormat="1" applyFont="1" applyFill="1" applyBorder="1"/>
    <xf numFmtId="175" fontId="13" fillId="9" borderId="0" xfId="0" applyNumberFormat="1" applyFont="1" applyFill="1"/>
    <xf numFmtId="175" fontId="0" fillId="9" borderId="0" xfId="0" applyNumberFormat="1" applyFill="1"/>
    <xf numFmtId="175" fontId="0" fillId="9" borderId="4" xfId="0" applyNumberFormat="1" applyFill="1" applyBorder="1"/>
    <xf numFmtId="175" fontId="13" fillId="9" borderId="5" xfId="1" applyNumberFormat="1" applyFont="1" applyFill="1" applyBorder="1"/>
    <xf numFmtId="175" fontId="13" fillId="9" borderId="0" xfId="1" applyNumberFormat="1" applyFont="1" applyFill="1" applyBorder="1"/>
    <xf numFmtId="174" fontId="13" fillId="9" borderId="0" xfId="0" applyNumberFormat="1" applyFont="1" applyFill="1"/>
    <xf numFmtId="17" fontId="0" fillId="9" borderId="0" xfId="0" applyNumberFormat="1" applyFill="1"/>
    <xf numFmtId="17" fontId="0" fillId="9" borderId="5" xfId="0" applyNumberFormat="1" applyFill="1" applyBorder="1"/>
    <xf numFmtId="38" fontId="0" fillId="9" borderId="5" xfId="0" applyNumberFormat="1" applyFill="1" applyBorder="1"/>
    <xf numFmtId="166" fontId="11" fillId="9" borderId="9" xfId="0" applyNumberFormat="1" applyFont="1" applyFill="1" applyBorder="1"/>
    <xf numFmtId="171" fontId="11" fillId="9" borderId="10" xfId="0" applyNumberFormat="1" applyFont="1" applyFill="1" applyBorder="1"/>
    <xf numFmtId="0" fontId="25" fillId="9" borderId="0" xfId="0" applyFont="1" applyFill="1"/>
    <xf numFmtId="175" fontId="0" fillId="9" borderId="9" xfId="0" applyNumberFormat="1" applyFill="1" applyBorder="1"/>
    <xf numFmtId="175" fontId="0" fillId="9" borderId="8" xfId="0" applyNumberFormat="1" applyFill="1" applyBorder="1"/>
    <xf numFmtId="175" fontId="0" fillId="9" borderId="10" xfId="0" applyNumberFormat="1" applyFill="1" applyBorder="1"/>
    <xf numFmtId="175" fontId="13" fillId="9" borderId="8" xfId="0" applyNumberFormat="1" applyFont="1" applyFill="1" applyBorder="1"/>
    <xf numFmtId="175" fontId="0" fillId="9" borderId="6" xfId="0" applyNumberFormat="1" applyFill="1" applyBorder="1"/>
    <xf numFmtId="175" fontId="0" fillId="9" borderId="3" xfId="0" applyNumberFormat="1" applyFill="1" applyBorder="1"/>
    <xf numFmtId="175" fontId="0" fillId="9" borderId="7" xfId="0" applyNumberFormat="1" applyFill="1" applyBorder="1"/>
    <xf numFmtId="175" fontId="13" fillId="9" borderId="3" xfId="0" applyNumberFormat="1" applyFont="1" applyFill="1" applyBorder="1"/>
    <xf numFmtId="167" fontId="13" fillId="9" borderId="8" xfId="0" applyNumberFormat="1" applyFont="1" applyFill="1" applyBorder="1"/>
    <xf numFmtId="167" fontId="13" fillId="9" borderId="10" xfId="0" applyNumberFormat="1" applyFont="1" applyFill="1" applyBorder="1"/>
    <xf numFmtId="3" fontId="13" fillId="9" borderId="0" xfId="1" applyNumberFormat="1" applyFont="1" applyFill="1" applyBorder="1"/>
    <xf numFmtId="3" fontId="13" fillId="9" borderId="5" xfId="1" applyNumberFormat="1" applyFont="1" applyFill="1" applyBorder="1"/>
    <xf numFmtId="0" fontId="0" fillId="9" borderId="10" xfId="0" applyFill="1" applyBorder="1"/>
    <xf numFmtId="171" fontId="8" fillId="9" borderId="8" xfId="1" applyNumberFormat="1" applyFont="1" applyFill="1" applyBorder="1"/>
    <xf numFmtId="171" fontId="8" fillId="9" borderId="0" xfId="1" applyNumberFormat="1" applyFont="1" applyFill="1"/>
    <xf numFmtId="171" fontId="0" fillId="9" borderId="9" xfId="0" applyNumberFormat="1" applyFill="1" applyBorder="1"/>
    <xf numFmtId="0" fontId="0" fillId="9" borderId="2" xfId="0" applyFill="1" applyBorder="1"/>
    <xf numFmtId="171" fontId="11" fillId="9" borderId="1" xfId="1" applyNumberFormat="1" applyFont="1" applyFill="1" applyBorder="1"/>
    <xf numFmtId="171" fontId="11" fillId="9" borderId="14" xfId="1" applyNumberFormat="1" applyFont="1" applyFill="1" applyBorder="1"/>
    <xf numFmtId="9" fontId="8" fillId="9" borderId="8" xfId="3" applyFont="1" applyFill="1" applyBorder="1"/>
    <xf numFmtId="9" fontId="8" fillId="9" borderId="0" xfId="3" applyFont="1" applyFill="1"/>
    <xf numFmtId="9" fontId="8" fillId="9" borderId="14" xfId="3" applyFont="1" applyFill="1" applyBorder="1"/>
    <xf numFmtId="9" fontId="8" fillId="9" borderId="1" xfId="3" applyFont="1" applyFill="1" applyBorder="1"/>
    <xf numFmtId="171" fontId="13" fillId="9" borderId="4" xfId="1" applyNumberFormat="1" applyFont="1" applyFill="1" applyBorder="1"/>
    <xf numFmtId="3" fontId="13" fillId="9" borderId="4" xfId="1" applyNumberFormat="1" applyFont="1" applyFill="1" applyBorder="1"/>
    <xf numFmtId="173" fontId="13" fillId="9" borderId="4" xfId="1" applyNumberFormat="1" applyFont="1" applyFill="1" applyBorder="1"/>
    <xf numFmtId="0" fontId="13" fillId="4" borderId="4" xfId="0" applyFont="1" applyFill="1" applyBorder="1"/>
    <xf numFmtId="171" fontId="8" fillId="9" borderId="10" xfId="1" applyNumberFormat="1" applyFont="1" applyFill="1" applyBorder="1"/>
    <xf numFmtId="171" fontId="11" fillId="9" borderId="2" xfId="1" applyNumberFormat="1" applyFont="1" applyFill="1" applyBorder="1"/>
    <xf numFmtId="9" fontId="8" fillId="9" borderId="10" xfId="3" applyFont="1" applyFill="1" applyBorder="1"/>
    <xf numFmtId="9" fontId="8" fillId="9" borderId="4" xfId="3" applyFont="1" applyFill="1" applyBorder="1"/>
    <xf numFmtId="9" fontId="8" fillId="9" borderId="2" xfId="3" applyFont="1" applyFill="1" applyBorder="1"/>
    <xf numFmtId="1" fontId="22" fillId="3" borderId="0" xfId="0" applyNumberFormat="1" applyFont="1" applyFill="1"/>
    <xf numFmtId="166" fontId="13" fillId="9" borderId="3" xfId="0" applyNumberFormat="1" applyFont="1" applyFill="1" applyBorder="1"/>
    <xf numFmtId="166" fontId="22" fillId="3" borderId="11" xfId="0" applyNumberFormat="1" applyFont="1" applyFill="1" applyBorder="1"/>
    <xf numFmtId="166" fontId="22" fillId="3" borderId="12" xfId="0" applyNumberFormat="1" applyFont="1" applyFill="1" applyBorder="1"/>
    <xf numFmtId="166" fontId="13" fillId="3" borderId="0" xfId="0" applyNumberFormat="1" applyFont="1" applyFill="1"/>
    <xf numFmtId="166" fontId="13" fillId="3" borderId="5" xfId="0" applyNumberFormat="1" applyFont="1" applyFill="1" applyBorder="1"/>
    <xf numFmtId="166" fontId="13" fillId="3" borderId="4" xfId="0" applyNumberFormat="1" applyFont="1" applyFill="1" applyBorder="1"/>
    <xf numFmtId="166" fontId="9" fillId="5" borderId="0" xfId="0" applyNumberFormat="1" applyFont="1" applyFill="1" applyAlignment="1">
      <alignment wrapText="1"/>
    </xf>
    <xf numFmtId="166" fontId="9" fillId="5" borderId="5" xfId="0" applyNumberFormat="1" applyFont="1" applyFill="1" applyBorder="1" applyAlignment="1">
      <alignment wrapText="1"/>
    </xf>
    <xf numFmtId="171" fontId="13" fillId="9" borderId="5" xfId="0" applyNumberFormat="1" applyFont="1" applyFill="1" applyBorder="1"/>
    <xf numFmtId="171" fontId="13" fillId="9" borderId="0" xfId="0" applyNumberFormat="1" applyFont="1" applyFill="1"/>
    <xf numFmtId="171" fontId="22" fillId="4" borderId="12" xfId="0" applyNumberFormat="1" applyFont="1" applyFill="1" applyBorder="1"/>
    <xf numFmtId="171" fontId="22" fillId="4" borderId="11" xfId="0" applyNumberFormat="1" applyFont="1" applyFill="1" applyBorder="1"/>
    <xf numFmtId="1" fontId="22" fillId="4" borderId="5" xfId="0" applyNumberFormat="1" applyFont="1" applyFill="1" applyBorder="1"/>
    <xf numFmtId="1" fontId="22" fillId="4" borderId="0" xfId="0" applyNumberFormat="1" applyFont="1" applyFill="1"/>
    <xf numFmtId="166" fontId="13" fillId="9" borderId="7" xfId="0" applyNumberFormat="1" applyFont="1" applyFill="1" applyBorder="1"/>
    <xf numFmtId="171" fontId="13" fillId="9" borderId="4" xfId="0" applyNumberFormat="1" applyFont="1" applyFill="1" applyBorder="1"/>
    <xf numFmtId="3" fontId="13" fillId="9" borderId="5" xfId="0" applyNumberFormat="1" applyFont="1" applyFill="1" applyBorder="1"/>
    <xf numFmtId="3" fontId="13" fillId="9" borderId="6" xfId="0" applyNumberFormat="1" applyFont="1" applyFill="1" applyBorder="1"/>
    <xf numFmtId="3" fontId="13" fillId="9" borderId="3" xfId="0" applyNumberFormat="1" applyFont="1" applyFill="1" applyBorder="1"/>
    <xf numFmtId="3" fontId="22" fillId="4" borderId="12" xfId="0" applyNumberFormat="1" applyFont="1" applyFill="1" applyBorder="1"/>
    <xf numFmtId="3" fontId="22" fillId="4" borderId="11" xfId="0" applyNumberFormat="1" applyFont="1" applyFill="1" applyBorder="1"/>
    <xf numFmtId="3" fontId="0" fillId="9" borderId="5" xfId="0" applyNumberFormat="1" applyFill="1" applyBorder="1"/>
    <xf numFmtId="3" fontId="22" fillId="4" borderId="5" xfId="0" applyNumberFormat="1" applyFont="1" applyFill="1" applyBorder="1"/>
    <xf numFmtId="3" fontId="22" fillId="4" borderId="0" xfId="0" applyNumberFormat="1" applyFont="1" applyFill="1"/>
    <xf numFmtId="166" fontId="22" fillId="4" borderId="11" xfId="0" applyNumberFormat="1" applyFont="1" applyFill="1" applyBorder="1"/>
    <xf numFmtId="166" fontId="22" fillId="9" borderId="5" xfId="0" applyNumberFormat="1" applyFont="1" applyFill="1" applyBorder="1"/>
    <xf numFmtId="166" fontId="22" fillId="9" borderId="0" xfId="0" applyNumberFormat="1" applyFont="1" applyFill="1"/>
    <xf numFmtId="168" fontId="22" fillId="9" borderId="5" xfId="0" applyNumberFormat="1" applyFont="1" applyFill="1" applyBorder="1"/>
    <xf numFmtId="168" fontId="22" fillId="9" borderId="0" xfId="0" applyNumberFormat="1" applyFont="1" applyFill="1"/>
    <xf numFmtId="167" fontId="22" fillId="9" borderId="5" xfId="0" applyNumberFormat="1" applyFont="1" applyFill="1" applyBorder="1"/>
    <xf numFmtId="167" fontId="22" fillId="9" borderId="0" xfId="0" applyNumberFormat="1" applyFont="1" applyFill="1"/>
    <xf numFmtId="3" fontId="13" fillId="9" borderId="4" xfId="0" applyNumberFormat="1" applyFont="1" applyFill="1" applyBorder="1"/>
    <xf numFmtId="3" fontId="13" fillId="9" borderId="9" xfId="0" applyNumberFormat="1" applyFont="1" applyFill="1" applyBorder="1"/>
    <xf numFmtId="3" fontId="13" fillId="9" borderId="8" xfId="0" applyNumberFormat="1" applyFont="1" applyFill="1" applyBorder="1"/>
    <xf numFmtId="3" fontId="13" fillId="9" borderId="10" xfId="0" applyNumberFormat="1" applyFont="1" applyFill="1" applyBorder="1"/>
    <xf numFmtId="3" fontId="13" fillId="9" borderId="7" xfId="0" applyNumberFormat="1" applyFont="1" applyFill="1" applyBorder="1"/>
    <xf numFmtId="3" fontId="22" fillId="4" borderId="13" xfId="0" applyNumberFormat="1" applyFont="1" applyFill="1" applyBorder="1"/>
    <xf numFmtId="1" fontId="13" fillId="9" borderId="4" xfId="0" applyNumberFormat="1" applyFont="1" applyFill="1" applyBorder="1"/>
    <xf numFmtId="166" fontId="13" fillId="9" borderId="2" xfId="0" applyNumberFormat="1" applyFont="1" applyFill="1" applyBorder="1"/>
    <xf numFmtId="166" fontId="13" fillId="9" borderId="1" xfId="0" applyNumberFormat="1" applyFont="1" applyFill="1" applyBorder="1"/>
    <xf numFmtId="166" fontId="13" fillId="9" borderId="9" xfId="0" applyNumberFormat="1" applyFont="1" applyFill="1" applyBorder="1"/>
    <xf numFmtId="166" fontId="13" fillId="9" borderId="8" xfId="0" applyNumberFormat="1" applyFont="1" applyFill="1" applyBorder="1"/>
    <xf numFmtId="166" fontId="13" fillId="9" borderId="10" xfId="0" applyNumberFormat="1" applyFont="1" applyFill="1" applyBorder="1"/>
    <xf numFmtId="3" fontId="22" fillId="4" borderId="4" xfId="0" applyNumberFormat="1" applyFont="1" applyFill="1" applyBorder="1"/>
    <xf numFmtId="171" fontId="13" fillId="11" borderId="5" xfId="1" applyNumberFormat="1" applyFont="1" applyFill="1" applyBorder="1"/>
    <xf numFmtId="166" fontId="0" fillId="11" borderId="0" xfId="0" applyNumberFormat="1" applyFill="1"/>
    <xf numFmtId="166" fontId="0" fillId="11" borderId="5" xfId="0" applyNumberFormat="1" applyFill="1" applyBorder="1"/>
    <xf numFmtId="171" fontId="22" fillId="9" borderId="0" xfId="1" applyNumberFormat="1" applyFont="1" applyFill="1" applyBorder="1"/>
    <xf numFmtId="166" fontId="22" fillId="3" borderId="13" xfId="0" applyNumberFormat="1" applyFont="1" applyFill="1" applyBorder="1"/>
    <xf numFmtId="166" fontId="9" fillId="5" borderId="4" xfId="0" applyNumberFormat="1" applyFont="1" applyFill="1" applyBorder="1" applyAlignment="1">
      <alignment wrapText="1"/>
    </xf>
    <xf numFmtId="0" fontId="0" fillId="9" borderId="17" xfId="0" applyFill="1" applyBorder="1"/>
    <xf numFmtId="17" fontId="22" fillId="3" borderId="2" xfId="0" applyNumberFormat="1" applyFont="1" applyFill="1" applyBorder="1" applyAlignment="1">
      <alignment horizontal="center"/>
    </xf>
    <xf numFmtId="40" fontId="13" fillId="9" borderId="4" xfId="0" applyNumberFormat="1" applyFont="1" applyFill="1" applyBorder="1"/>
    <xf numFmtId="38" fontId="13" fillId="9" borderId="4" xfId="0" applyNumberFormat="1" applyFont="1" applyFill="1" applyBorder="1"/>
    <xf numFmtId="171" fontId="22" fillId="4" borderId="13" xfId="0" applyNumberFormat="1" applyFont="1" applyFill="1" applyBorder="1"/>
    <xf numFmtId="1" fontId="22" fillId="4" borderId="4" xfId="0" applyNumberFormat="1" applyFont="1" applyFill="1" applyBorder="1"/>
    <xf numFmtId="0" fontId="22" fillId="4" borderId="4" xfId="0" applyFont="1" applyFill="1" applyBorder="1"/>
    <xf numFmtId="3" fontId="0" fillId="9" borderId="4" xfId="0" applyNumberFormat="1" applyFill="1" applyBorder="1"/>
    <xf numFmtId="171" fontId="16" fillId="9" borderId="4" xfId="1" applyNumberFormat="1" applyFont="1" applyFill="1" applyBorder="1"/>
    <xf numFmtId="166" fontId="22" fillId="4" borderId="13" xfId="0" applyNumberFormat="1" applyFont="1" applyFill="1" applyBorder="1"/>
    <xf numFmtId="17" fontId="0" fillId="9" borderId="10" xfId="0" applyNumberFormat="1" applyFill="1" applyBorder="1"/>
    <xf numFmtId="171" fontId="8" fillId="9" borderId="7" xfId="1" applyNumberFormat="1" applyFont="1" applyFill="1" applyBorder="1"/>
    <xf numFmtId="171" fontId="11" fillId="9" borderId="2" xfId="0" applyNumberFormat="1" applyFont="1" applyFill="1" applyBorder="1"/>
    <xf numFmtId="171" fontId="0" fillId="9" borderId="4" xfId="1" applyNumberFormat="1" applyFont="1" applyFill="1" applyBorder="1"/>
    <xf numFmtId="9" fontId="11" fillId="9" borderId="2" xfId="3" applyFont="1" applyFill="1" applyBorder="1"/>
    <xf numFmtId="4" fontId="13" fillId="9" borderId="4" xfId="0" applyNumberFormat="1" applyFont="1" applyFill="1" applyBorder="1"/>
    <xf numFmtId="0" fontId="23" fillId="9" borderId="14" xfId="0" applyFont="1" applyFill="1" applyBorder="1"/>
    <xf numFmtId="0" fontId="23" fillId="9" borderId="2" xfId="0" applyFont="1" applyFill="1" applyBorder="1"/>
    <xf numFmtId="9" fontId="13" fillId="9" borderId="14" xfId="0" applyNumberFormat="1" applyFont="1" applyFill="1" applyBorder="1"/>
    <xf numFmtId="0" fontId="13" fillId="9" borderId="1" xfId="0" applyFont="1" applyFill="1" applyBorder="1"/>
    <xf numFmtId="0" fontId="13" fillId="9" borderId="2" xfId="0" applyFont="1" applyFill="1" applyBorder="1"/>
    <xf numFmtId="0" fontId="13" fillId="9" borderId="14" xfId="0" applyFont="1" applyFill="1" applyBorder="1"/>
    <xf numFmtId="166" fontId="22" fillId="9" borderId="4" xfId="0" applyNumberFormat="1" applyFont="1" applyFill="1" applyBorder="1"/>
    <xf numFmtId="171" fontId="11" fillId="9" borderId="0" xfId="0" applyNumberFormat="1" applyFont="1" applyFill="1"/>
    <xf numFmtId="0" fontId="13" fillId="9" borderId="3" xfId="0" applyFont="1" applyFill="1" applyBorder="1"/>
    <xf numFmtId="171" fontId="11" fillId="9" borderId="5" xfId="0" applyNumberFormat="1" applyFont="1" applyFill="1" applyBorder="1"/>
    <xf numFmtId="171" fontId="11" fillId="9" borderId="4" xfId="0" applyNumberFormat="1" applyFont="1" applyFill="1" applyBorder="1"/>
    <xf numFmtId="0" fontId="11" fillId="9" borderId="8" xfId="0" applyFont="1" applyFill="1" applyBorder="1"/>
    <xf numFmtId="171" fontId="11" fillId="9" borderId="18" xfId="0" applyNumberFormat="1" applyFont="1" applyFill="1" applyBorder="1"/>
    <xf numFmtId="0" fontId="17" fillId="10" borderId="10" xfId="0" applyFont="1" applyFill="1" applyBorder="1"/>
    <xf numFmtId="2" fontId="22" fillId="4" borderId="4" xfId="0" applyNumberFormat="1" applyFont="1" applyFill="1" applyBorder="1"/>
    <xf numFmtId="3" fontId="13" fillId="9" borderId="4" xfId="1" applyNumberFormat="1" applyFont="1" applyFill="1" applyBorder="1" applyAlignment="1"/>
    <xf numFmtId="3" fontId="13" fillId="9" borderId="4" xfId="1" applyNumberFormat="1" applyFont="1" applyFill="1" applyBorder="1" applyAlignment="1">
      <alignment horizontal="right" vertical="center"/>
    </xf>
    <xf numFmtId="3" fontId="9" fillId="9" borderId="5" xfId="1" applyNumberFormat="1" applyFont="1" applyFill="1" applyBorder="1" applyAlignment="1">
      <alignment horizontal="center"/>
    </xf>
    <xf numFmtId="3" fontId="9" fillId="9" borderId="0" xfId="1" applyNumberFormat="1" applyFont="1" applyFill="1" applyBorder="1" applyAlignment="1">
      <alignment horizontal="center"/>
    </xf>
    <xf numFmtId="3" fontId="9" fillId="9" borderId="4" xfId="1" applyNumberFormat="1" applyFont="1" applyFill="1" applyBorder="1" applyAlignment="1">
      <alignment horizontal="center"/>
    </xf>
    <xf numFmtId="4" fontId="13" fillId="9" borderId="0" xfId="0" applyNumberFormat="1" applyFont="1" applyFill="1" applyAlignment="1">
      <alignment horizontal="right"/>
    </xf>
    <xf numFmtId="4" fontId="13" fillId="9" borderId="4" xfId="0" applyNumberFormat="1" applyFont="1" applyFill="1" applyBorder="1" applyAlignment="1">
      <alignment horizontal="right"/>
    </xf>
    <xf numFmtId="4" fontId="13" fillId="9" borderId="4" xfId="1" applyNumberFormat="1" applyFont="1" applyFill="1" applyBorder="1" applyAlignment="1">
      <alignment horizontal="right" vertical="center"/>
    </xf>
    <xf numFmtId="0" fontId="9" fillId="9" borderId="2" xfId="0" applyFont="1" applyFill="1" applyBorder="1"/>
    <xf numFmtId="17" fontId="22" fillId="12" borderId="14" xfId="0" applyNumberFormat="1" applyFont="1" applyFill="1" applyBorder="1"/>
    <xf numFmtId="17" fontId="22" fillId="12" borderId="1" xfId="0" applyNumberFormat="1" applyFont="1" applyFill="1" applyBorder="1"/>
    <xf numFmtId="17" fontId="22" fillId="12" borderId="2" xfId="0" applyNumberFormat="1" applyFont="1" applyFill="1" applyBorder="1"/>
    <xf numFmtId="0" fontId="23" fillId="9" borderId="2" xfId="0" applyFont="1" applyFill="1" applyBorder="1" applyAlignment="1">
      <alignment horizontal="left" vertical="center"/>
    </xf>
    <xf numFmtId="0" fontId="0" fillId="9" borderId="0" xfId="0" applyFill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3" fontId="0" fillId="9" borderId="5" xfId="0" applyNumberFormat="1" applyFill="1" applyBorder="1" applyAlignment="1">
      <alignment vertical="center" wrapText="1"/>
    </xf>
    <xf numFmtId="3" fontId="0" fillId="9" borderId="0" xfId="0" applyNumberFormat="1" applyFill="1" applyAlignment="1">
      <alignment vertical="center" wrapText="1"/>
    </xf>
    <xf numFmtId="3" fontId="11" fillId="9" borderId="14" xfId="0" applyNumberFormat="1" applyFont="1" applyFill="1" applyBorder="1" applyAlignment="1">
      <alignment vertical="center" wrapText="1"/>
    </xf>
    <xf numFmtId="3" fontId="11" fillId="9" borderId="1" xfId="0" applyNumberFormat="1" applyFont="1" applyFill="1" applyBorder="1" applyAlignment="1">
      <alignment vertical="center" wrapText="1"/>
    </xf>
    <xf numFmtId="3" fontId="11" fillId="13" borderId="5" xfId="0" applyNumberFormat="1" applyFont="1" applyFill="1" applyBorder="1"/>
    <xf numFmtId="3" fontId="11" fillId="13" borderId="0" xfId="0" applyNumberFormat="1" applyFont="1" applyFill="1"/>
    <xf numFmtId="3" fontId="11" fillId="13" borderId="4" xfId="0" applyNumberFormat="1" applyFont="1" applyFill="1" applyBorder="1"/>
    <xf numFmtId="0" fontId="0" fillId="0" borderId="7" xfId="0" applyBorder="1" applyAlignment="1">
      <alignment vertical="center" wrapText="1"/>
    </xf>
    <xf numFmtId="3" fontId="0" fillId="9" borderId="4" xfId="0" applyNumberFormat="1" applyFill="1" applyBorder="1" applyAlignment="1">
      <alignment vertical="center" wrapText="1"/>
    </xf>
    <xf numFmtId="3" fontId="11" fillId="9" borderId="2" xfId="0" applyNumberFormat="1" applyFont="1" applyFill="1" applyBorder="1" applyAlignment="1">
      <alignment vertical="center" wrapText="1"/>
    </xf>
    <xf numFmtId="10" fontId="0" fillId="9" borderId="6" xfId="3" applyNumberFormat="1" applyFont="1" applyFill="1" applyBorder="1" applyAlignment="1">
      <alignment vertical="center" wrapText="1"/>
    </xf>
    <xf numFmtId="10" fontId="0" fillId="9" borderId="3" xfId="3" applyNumberFormat="1" applyFont="1" applyFill="1" applyBorder="1" applyAlignment="1">
      <alignment vertical="center" wrapText="1"/>
    </xf>
    <xf numFmtId="10" fontId="0" fillId="9" borderId="7" xfId="3" applyNumberFormat="1" applyFont="1" applyFill="1" applyBorder="1" applyAlignment="1">
      <alignment vertical="center" wrapText="1"/>
    </xf>
    <xf numFmtId="166" fontId="22" fillId="13" borderId="12" xfId="0" applyNumberFormat="1" applyFont="1" applyFill="1" applyBorder="1"/>
    <xf numFmtId="166" fontId="22" fillId="13" borderId="11" xfId="0" applyNumberFormat="1" applyFont="1" applyFill="1" applyBorder="1"/>
    <xf numFmtId="166" fontId="22" fillId="13" borderId="13" xfId="0" applyNumberFormat="1" applyFont="1" applyFill="1" applyBorder="1"/>
    <xf numFmtId="9" fontId="0" fillId="9" borderId="4" xfId="3" applyFont="1" applyFill="1" applyBorder="1" applyAlignment="1">
      <alignment vertical="center" wrapText="1"/>
    </xf>
    <xf numFmtId="9" fontId="11" fillId="9" borderId="2" xfId="3" applyFont="1" applyFill="1" applyBorder="1" applyAlignment="1">
      <alignment vertical="center" wrapText="1"/>
    </xf>
    <xf numFmtId="9" fontId="0" fillId="9" borderId="0" xfId="3" applyFont="1" applyFill="1" applyBorder="1" applyAlignment="1">
      <alignment vertical="center" wrapText="1"/>
    </xf>
    <xf numFmtId="9" fontId="11" fillId="9" borderId="1" xfId="3" applyFont="1" applyFill="1" applyBorder="1" applyAlignment="1">
      <alignment vertical="center" wrapText="1"/>
    </xf>
    <xf numFmtId="9" fontId="0" fillId="9" borderId="5" xfId="3" applyFont="1" applyFill="1" applyBorder="1" applyAlignment="1">
      <alignment vertical="center" wrapText="1"/>
    </xf>
    <xf numFmtId="9" fontId="11" fillId="9" borderId="14" xfId="3" applyFont="1" applyFill="1" applyBorder="1" applyAlignment="1">
      <alignment vertical="center" wrapText="1"/>
    </xf>
    <xf numFmtId="3" fontId="11" fillId="9" borderId="5" xfId="0" applyNumberFormat="1" applyFont="1" applyFill="1" applyBorder="1" applyAlignment="1">
      <alignment vertical="center" wrapText="1"/>
    </xf>
    <xf numFmtId="3" fontId="11" fillId="9" borderId="0" xfId="0" applyNumberFormat="1" applyFont="1" applyFill="1" applyAlignment="1">
      <alignment vertical="center" wrapText="1"/>
    </xf>
    <xf numFmtId="3" fontId="11" fillId="9" borderId="10" xfId="0" applyNumberFormat="1" applyFont="1" applyFill="1" applyBorder="1" applyAlignment="1">
      <alignment vertical="center" wrapText="1"/>
    </xf>
    <xf numFmtId="0" fontId="0" fillId="14" borderId="2" xfId="0" applyFill="1" applyBorder="1"/>
    <xf numFmtId="17" fontId="22" fillId="14" borderId="14" xfId="0" applyNumberFormat="1" applyFont="1" applyFill="1" applyBorder="1"/>
    <xf numFmtId="17" fontId="22" fillId="14" borderId="1" xfId="0" applyNumberFormat="1" applyFont="1" applyFill="1" applyBorder="1"/>
    <xf numFmtId="17" fontId="22" fillId="14" borderId="2" xfId="0" applyNumberFormat="1" applyFont="1" applyFill="1" applyBorder="1"/>
    <xf numFmtId="0" fontId="0" fillId="0" borderId="0" xfId="0" applyAlignment="1">
      <alignment vertical="center" wrapText="1"/>
    </xf>
    <xf numFmtId="0" fontId="17" fillId="9" borderId="0" xfId="0" applyFont="1" applyFill="1" applyAlignment="1">
      <alignment vertical="center" wrapText="1"/>
    </xf>
    <xf numFmtId="4" fontId="0" fillId="9" borderId="0" xfId="0" applyNumberFormat="1" applyFill="1" applyAlignment="1">
      <alignment vertical="center" wrapText="1"/>
    </xf>
    <xf numFmtId="166" fontId="22" fillId="14" borderId="12" xfId="0" applyNumberFormat="1" applyFont="1" applyFill="1" applyBorder="1"/>
    <xf numFmtId="166" fontId="22" fillId="14" borderId="11" xfId="0" applyNumberFormat="1" applyFont="1" applyFill="1" applyBorder="1"/>
    <xf numFmtId="166" fontId="22" fillId="14" borderId="13" xfId="0" applyNumberFormat="1" applyFont="1" applyFill="1" applyBorder="1"/>
    <xf numFmtId="3" fontId="11" fillId="14" borderId="5" xfId="0" applyNumberFormat="1" applyFont="1" applyFill="1" applyBorder="1"/>
    <xf numFmtId="3" fontId="11" fillId="14" borderId="0" xfId="0" applyNumberFormat="1" applyFont="1" applyFill="1"/>
    <xf numFmtId="3" fontId="11" fillId="14" borderId="4" xfId="0" applyNumberFormat="1" applyFont="1" applyFill="1" applyBorder="1"/>
    <xf numFmtId="4" fontId="0" fillId="9" borderId="5" xfId="0" applyNumberFormat="1" applyFill="1" applyBorder="1" applyAlignment="1">
      <alignment vertical="center" wrapText="1"/>
    </xf>
    <xf numFmtId="3" fontId="11" fillId="9" borderId="4" xfId="0" applyNumberFormat="1" applyFont="1" applyFill="1" applyBorder="1" applyAlignment="1">
      <alignment vertical="center" wrapText="1"/>
    </xf>
    <xf numFmtId="4" fontId="0" fillId="9" borderId="4" xfId="0" applyNumberFormat="1" applyFill="1" applyBorder="1" applyAlignment="1">
      <alignment vertical="center" wrapText="1"/>
    </xf>
    <xf numFmtId="166" fontId="22" fillId="4" borderId="12" xfId="0" applyNumberFormat="1" applyFont="1" applyFill="1" applyBorder="1"/>
    <xf numFmtId="172" fontId="22" fillId="4" borderId="11" xfId="0" applyNumberFormat="1" applyFont="1" applyFill="1" applyBorder="1"/>
    <xf numFmtId="172" fontId="13" fillId="9" borderId="0" xfId="0" applyNumberFormat="1" applyFont="1" applyFill="1"/>
    <xf numFmtId="3" fontId="13" fillId="9" borderId="0" xfId="0" applyNumberFormat="1" applyFont="1" applyFill="1" applyAlignment="1">
      <alignment horizontal="right"/>
    </xf>
    <xf numFmtId="9" fontId="22" fillId="4" borderId="14" xfId="0" applyNumberFormat="1" applyFont="1" applyFill="1" applyBorder="1"/>
    <xf numFmtId="0" fontId="22" fillId="4" borderId="1" xfId="0" applyFont="1" applyFill="1" applyBorder="1"/>
    <xf numFmtId="0" fontId="22" fillId="4" borderId="2" xfId="0" applyFont="1" applyFill="1" applyBorder="1"/>
    <xf numFmtId="0" fontId="22" fillId="4" borderId="14" xfId="0" applyFont="1" applyFill="1" applyBorder="1"/>
    <xf numFmtId="3" fontId="13" fillId="9" borderId="4" xfId="0" applyNumberFormat="1" applyFont="1" applyFill="1" applyBorder="1" applyAlignment="1">
      <alignment horizontal="right"/>
    </xf>
    <xf numFmtId="172" fontId="22" fillId="4" borderId="13" xfId="0" applyNumberFormat="1" applyFont="1" applyFill="1" applyBorder="1"/>
    <xf numFmtId="0" fontId="0" fillId="10" borderId="8" xfId="0" applyFill="1" applyBorder="1"/>
    <xf numFmtId="17" fontId="0" fillId="10" borderId="8" xfId="0" applyNumberFormat="1" applyFill="1" applyBorder="1"/>
    <xf numFmtId="17" fontId="0" fillId="10" borderId="9" xfId="0" applyNumberFormat="1" applyFill="1" applyBorder="1" applyAlignment="1">
      <alignment horizontal="center"/>
    </xf>
    <xf numFmtId="17" fontId="0" fillId="10" borderId="9" xfId="0" applyNumberFormat="1" applyFill="1" applyBorder="1"/>
    <xf numFmtId="17" fontId="0" fillId="10" borderId="10" xfId="0" applyNumberFormat="1" applyFill="1" applyBorder="1"/>
    <xf numFmtId="0" fontId="0" fillId="9" borderId="20" xfId="0" applyFill="1" applyBorder="1"/>
    <xf numFmtId="167" fontId="13" fillId="9" borderId="19" xfId="0" applyNumberFormat="1" applyFont="1" applyFill="1" applyBorder="1"/>
    <xf numFmtId="167" fontId="13" fillId="9" borderId="20" xfId="0" applyNumberFormat="1" applyFont="1" applyFill="1" applyBorder="1"/>
    <xf numFmtId="175" fontId="0" fillId="9" borderId="20" xfId="0" applyNumberFormat="1" applyFill="1" applyBorder="1"/>
    <xf numFmtId="169" fontId="13" fillId="9" borderId="20" xfId="0" applyNumberFormat="1" applyFont="1" applyFill="1" applyBorder="1"/>
    <xf numFmtId="167" fontId="22" fillId="4" borderId="15" xfId="0" applyNumberFormat="1" applyFont="1" applyFill="1" applyBorder="1"/>
    <xf numFmtId="37" fontId="0" fillId="9" borderId="4" xfId="0" applyNumberFormat="1" applyFill="1" applyBorder="1"/>
    <xf numFmtId="3" fontId="11" fillId="7" borderId="5" xfId="0" applyNumberFormat="1" applyFont="1" applyFill="1" applyBorder="1"/>
    <xf numFmtId="3" fontId="11" fillId="7" borderId="0" xfId="0" applyNumberFormat="1" applyFont="1" applyFill="1"/>
    <xf numFmtId="166" fontId="22" fillId="7" borderId="12" xfId="0" applyNumberFormat="1" applyFont="1" applyFill="1" applyBorder="1"/>
    <xf numFmtId="166" fontId="22" fillId="7" borderId="11" xfId="0" applyNumberFormat="1" applyFont="1" applyFill="1" applyBorder="1"/>
    <xf numFmtId="17" fontId="22" fillId="7" borderId="14" xfId="0" applyNumberFormat="1" applyFont="1" applyFill="1" applyBorder="1"/>
    <xf numFmtId="17" fontId="22" fillId="7" borderId="1" xfId="0" applyNumberFormat="1" applyFont="1" applyFill="1" applyBorder="1"/>
    <xf numFmtId="0" fontId="35" fillId="7" borderId="1" xfId="0" applyFont="1" applyFill="1" applyBorder="1" applyAlignment="1">
      <alignment vertical="center" wrapText="1"/>
    </xf>
    <xf numFmtId="17" fontId="22" fillId="7" borderId="2" xfId="0" applyNumberFormat="1" applyFont="1" applyFill="1" applyBorder="1"/>
    <xf numFmtId="166" fontId="22" fillId="7" borderId="13" xfId="0" applyNumberFormat="1" applyFont="1" applyFill="1" applyBorder="1"/>
    <xf numFmtId="3" fontId="11" fillId="7" borderId="4" xfId="0" applyNumberFormat="1" applyFont="1" applyFill="1" applyBorder="1"/>
    <xf numFmtId="171" fontId="0" fillId="9" borderId="0" xfId="1" applyNumberFormat="1" applyFont="1" applyFill="1" applyAlignment="1">
      <alignment vertical="center" wrapText="1"/>
    </xf>
    <xf numFmtId="171" fontId="0" fillId="9" borderId="5" xfId="1" applyNumberFormat="1" applyFont="1" applyFill="1" applyBorder="1" applyAlignment="1">
      <alignment vertical="center" wrapText="1"/>
    </xf>
    <xf numFmtId="172" fontId="22" fillId="4" borderId="12" xfId="0" applyNumberFormat="1" applyFont="1" applyFill="1" applyBorder="1"/>
    <xf numFmtId="168" fontId="13" fillId="9" borderId="4" xfId="0" applyNumberFormat="1" applyFont="1" applyFill="1" applyBorder="1" applyAlignment="1">
      <alignment horizontal="right"/>
    </xf>
    <xf numFmtId="166" fontId="0" fillId="15" borderId="5" xfId="0" applyNumberFormat="1" applyFill="1" applyBorder="1"/>
    <xf numFmtId="0" fontId="13" fillId="15" borderId="5" xfId="0" applyFont="1" applyFill="1" applyBorder="1"/>
    <xf numFmtId="166" fontId="22" fillId="15" borderId="5" xfId="0" applyNumberFormat="1" applyFont="1" applyFill="1" applyBorder="1"/>
    <xf numFmtId="40" fontId="13" fillId="15" borderId="5" xfId="0" applyNumberFormat="1" applyFont="1" applyFill="1" applyBorder="1"/>
    <xf numFmtId="168" fontId="22" fillId="15" borderId="5" xfId="0" applyNumberFormat="1" applyFont="1" applyFill="1" applyBorder="1"/>
    <xf numFmtId="171" fontId="13" fillId="15" borderId="5" xfId="1" applyNumberFormat="1" applyFont="1" applyFill="1" applyBorder="1"/>
    <xf numFmtId="171" fontId="13" fillId="15" borderId="0" xfId="1" applyNumberFormat="1" applyFont="1" applyFill="1" applyBorder="1"/>
    <xf numFmtId="38" fontId="13" fillId="15" borderId="5" xfId="0" applyNumberFormat="1" applyFont="1" applyFill="1" applyBorder="1"/>
    <xf numFmtId="166" fontId="13" fillId="15" borderId="3" xfId="0" applyNumberFormat="1" applyFont="1" applyFill="1" applyBorder="1"/>
    <xf numFmtId="171" fontId="13" fillId="15" borderId="0" xfId="0" applyNumberFormat="1" applyFont="1" applyFill="1"/>
    <xf numFmtId="166" fontId="13" fillId="15" borderId="0" xfId="0" applyNumberFormat="1" applyFont="1" applyFill="1"/>
    <xf numFmtId="171" fontId="22" fillId="15" borderId="12" xfId="0" applyNumberFormat="1" applyFont="1" applyFill="1" applyBorder="1"/>
    <xf numFmtId="1" fontId="13" fillId="15" borderId="5" xfId="0" applyNumberFormat="1" applyFont="1" applyFill="1" applyBorder="1"/>
    <xf numFmtId="1" fontId="22" fillId="15" borderId="5" xfId="0" applyNumberFormat="1" applyFont="1" applyFill="1" applyBorder="1"/>
    <xf numFmtId="173" fontId="13" fillId="15" borderId="5" xfId="1" applyNumberFormat="1" applyFont="1" applyFill="1" applyBorder="1"/>
    <xf numFmtId="171" fontId="9" fillId="15" borderId="5" xfId="1" applyNumberFormat="1" applyFont="1" applyFill="1" applyBorder="1" applyAlignment="1">
      <alignment horizontal="center"/>
    </xf>
    <xf numFmtId="0" fontId="0" fillId="15" borderId="9" xfId="0" applyFill="1" applyBorder="1"/>
    <xf numFmtId="0" fontId="0" fillId="15" borderId="6" xfId="0" applyFill="1" applyBorder="1"/>
    <xf numFmtId="3" fontId="13" fillId="9" borderId="0" xfId="1" applyNumberFormat="1" applyFont="1" applyFill="1" applyBorder="1" applyAlignment="1">
      <alignment horizontal="right" vertical="center"/>
    </xf>
    <xf numFmtId="4" fontId="13" fillId="9" borderId="0" xfId="1" applyNumberFormat="1" applyFont="1" applyFill="1" applyBorder="1" applyAlignment="1">
      <alignment horizontal="right" vertical="center"/>
    </xf>
    <xf numFmtId="0" fontId="0" fillId="15" borderId="8" xfId="0" applyFill="1" applyBorder="1"/>
    <xf numFmtId="0" fontId="0" fillId="15" borderId="10" xfId="0" applyFill="1" applyBorder="1"/>
    <xf numFmtId="166" fontId="0" fillId="15" borderId="0" xfId="0" applyNumberFormat="1" applyFill="1"/>
    <xf numFmtId="166" fontId="0" fillId="15" borderId="4" xfId="0" applyNumberFormat="1" applyFill="1" applyBorder="1"/>
    <xf numFmtId="0" fontId="13" fillId="15" borderId="0" xfId="0" applyFont="1" applyFill="1"/>
    <xf numFmtId="0" fontId="13" fillId="15" borderId="4" xfId="0" applyFont="1" applyFill="1" applyBorder="1"/>
    <xf numFmtId="166" fontId="22" fillId="15" borderId="0" xfId="0" applyNumberFormat="1" applyFont="1" applyFill="1"/>
    <xf numFmtId="166" fontId="22" fillId="15" borderId="4" xfId="0" applyNumberFormat="1" applyFont="1" applyFill="1" applyBorder="1"/>
    <xf numFmtId="40" fontId="13" fillId="15" borderId="0" xfId="0" applyNumberFormat="1" applyFont="1" applyFill="1"/>
    <xf numFmtId="40" fontId="13" fillId="15" borderId="4" xfId="0" applyNumberFormat="1" applyFont="1" applyFill="1" applyBorder="1"/>
    <xf numFmtId="168" fontId="22" fillId="15" borderId="0" xfId="0" applyNumberFormat="1" applyFont="1" applyFill="1"/>
    <xf numFmtId="168" fontId="22" fillId="15" borderId="4" xfId="0" applyNumberFormat="1" applyFont="1" applyFill="1" applyBorder="1"/>
    <xf numFmtId="171" fontId="13" fillId="15" borderId="4" xfId="1" applyNumberFormat="1" applyFont="1" applyFill="1" applyBorder="1"/>
    <xf numFmtId="38" fontId="13" fillId="15" borderId="0" xfId="0" applyNumberFormat="1" applyFont="1" applyFill="1"/>
    <xf numFmtId="38" fontId="13" fillId="15" borderId="4" xfId="0" applyNumberFormat="1" applyFont="1" applyFill="1" applyBorder="1"/>
    <xf numFmtId="166" fontId="13" fillId="15" borderId="7" xfId="0" applyNumberFormat="1" applyFont="1" applyFill="1" applyBorder="1"/>
    <xf numFmtId="171" fontId="13" fillId="15" borderId="4" xfId="0" applyNumberFormat="1" applyFont="1" applyFill="1" applyBorder="1"/>
    <xf numFmtId="166" fontId="13" fillId="15" borderId="4" xfId="0" applyNumberFormat="1" applyFont="1" applyFill="1" applyBorder="1"/>
    <xf numFmtId="166" fontId="22" fillId="15" borderId="11" xfId="0" applyNumberFormat="1" applyFont="1" applyFill="1" applyBorder="1"/>
    <xf numFmtId="171" fontId="22" fillId="15" borderId="13" xfId="0" applyNumberFormat="1" applyFont="1" applyFill="1" applyBorder="1"/>
    <xf numFmtId="1" fontId="13" fillId="15" borderId="0" xfId="0" applyNumberFormat="1" applyFont="1" applyFill="1"/>
    <xf numFmtId="1" fontId="13" fillId="15" borderId="4" xfId="0" applyNumberFormat="1" applyFont="1" applyFill="1" applyBorder="1"/>
    <xf numFmtId="1" fontId="22" fillId="15" borderId="0" xfId="0" applyNumberFormat="1" applyFont="1" applyFill="1"/>
    <xf numFmtId="1" fontId="22" fillId="15" borderId="4" xfId="0" applyNumberFormat="1" applyFont="1" applyFill="1" applyBorder="1"/>
    <xf numFmtId="173" fontId="13" fillId="15" borderId="0" xfId="1" applyNumberFormat="1" applyFont="1" applyFill="1" applyBorder="1"/>
    <xf numFmtId="173" fontId="13" fillId="15" borderId="4" xfId="1" applyNumberFormat="1" applyFont="1" applyFill="1" applyBorder="1"/>
    <xf numFmtId="171" fontId="9" fillId="15" borderId="0" xfId="1" applyNumberFormat="1" applyFont="1" applyFill="1" applyBorder="1" applyAlignment="1">
      <alignment horizontal="center"/>
    </xf>
    <xf numFmtId="171" fontId="9" fillId="15" borderId="4" xfId="1" applyNumberFormat="1" applyFont="1" applyFill="1" applyBorder="1" applyAlignment="1">
      <alignment horizontal="center"/>
    </xf>
    <xf numFmtId="3" fontId="13" fillId="15" borderId="4" xfId="0" applyNumberFormat="1" applyFont="1" applyFill="1" applyBorder="1"/>
    <xf numFmtId="168" fontId="13" fillId="15" borderId="0" xfId="0" applyNumberFormat="1" applyFont="1" applyFill="1"/>
    <xf numFmtId="0" fontId="0" fillId="15" borderId="3" xfId="0" applyFill="1" applyBorder="1"/>
    <xf numFmtId="0" fontId="0" fillId="15" borderId="7" xfId="0" applyFill="1" applyBorder="1"/>
    <xf numFmtId="0" fontId="12" fillId="9" borderId="4" xfId="0" applyFont="1" applyFill="1" applyBorder="1"/>
    <xf numFmtId="9" fontId="8" fillId="9" borderId="3" xfId="3" applyFont="1" applyFill="1" applyBorder="1"/>
    <xf numFmtId="9" fontId="8" fillId="9" borderId="6" xfId="3" applyFont="1" applyFill="1" applyBorder="1"/>
    <xf numFmtId="9" fontId="8" fillId="9" borderId="7" xfId="3" applyFont="1" applyFill="1" applyBorder="1"/>
    <xf numFmtId="9" fontId="13" fillId="9" borderId="6" xfId="3" applyFont="1" applyFill="1" applyBorder="1"/>
    <xf numFmtId="9" fontId="13" fillId="9" borderId="3" xfId="3" applyFont="1" applyFill="1" applyBorder="1"/>
    <xf numFmtId="9" fontId="13" fillId="9" borderId="7" xfId="3" applyFont="1" applyFill="1" applyBorder="1"/>
    <xf numFmtId="41" fontId="22" fillId="4" borderId="11" xfId="0" applyNumberFormat="1" applyFont="1" applyFill="1" applyBorder="1"/>
    <xf numFmtId="168" fontId="0" fillId="9" borderId="7" xfId="0" applyNumberFormat="1" applyFill="1" applyBorder="1"/>
    <xf numFmtId="168" fontId="13" fillId="9" borderId="6" xfId="0" applyNumberFormat="1" applyFont="1" applyFill="1" applyBorder="1"/>
    <xf numFmtId="168" fontId="13" fillId="9" borderId="3" xfId="0" applyNumberFormat="1" applyFont="1" applyFill="1" applyBorder="1"/>
    <xf numFmtId="4" fontId="13" fillId="9" borderId="3" xfId="0" applyNumberFormat="1" applyFont="1" applyFill="1" applyBorder="1" applyAlignment="1">
      <alignment horizontal="right"/>
    </xf>
    <xf numFmtId="0" fontId="13" fillId="9" borderId="7" xfId="0" applyFont="1" applyFill="1" applyBorder="1"/>
    <xf numFmtId="0" fontId="22" fillId="17" borderId="1" xfId="0" applyFont="1" applyFill="1" applyBorder="1"/>
    <xf numFmtId="0" fontId="0" fillId="17" borderId="0" xfId="0" applyFill="1"/>
    <xf numFmtId="0" fontId="0" fillId="17" borderId="4" xfId="0" applyFill="1" applyBorder="1"/>
    <xf numFmtId="17" fontId="0" fillId="17" borderId="9" xfId="0" applyNumberFormat="1" applyFill="1" applyBorder="1"/>
    <xf numFmtId="17" fontId="0" fillId="17" borderId="8" xfId="0" applyNumberFormat="1" applyFill="1" applyBorder="1"/>
    <xf numFmtId="17" fontId="0" fillId="17" borderId="10" xfId="0" applyNumberFormat="1" applyFill="1" applyBorder="1"/>
    <xf numFmtId="171" fontId="8" fillId="17" borderId="5" xfId="1" applyNumberFormat="1" applyFont="1" applyFill="1" applyBorder="1"/>
    <xf numFmtId="171" fontId="8" fillId="17" borderId="0" xfId="1" applyNumberFormat="1" applyFont="1" applyFill="1" applyBorder="1"/>
    <xf numFmtId="171" fontId="8" fillId="17" borderId="4" xfId="1" applyNumberFormat="1" applyFont="1" applyFill="1" applyBorder="1"/>
    <xf numFmtId="171" fontId="8" fillId="17" borderId="6" xfId="1" applyNumberFormat="1" applyFont="1" applyFill="1" applyBorder="1"/>
    <xf numFmtId="171" fontId="8" fillId="17" borderId="3" xfId="1" applyNumberFormat="1" applyFont="1" applyFill="1" applyBorder="1"/>
    <xf numFmtId="171" fontId="8" fillId="17" borderId="7" xfId="1" applyNumberFormat="1" applyFont="1" applyFill="1" applyBorder="1"/>
    <xf numFmtId="171" fontId="11" fillId="17" borderId="9" xfId="0" applyNumberFormat="1" applyFont="1" applyFill="1" applyBorder="1"/>
    <xf numFmtId="171" fontId="11" fillId="17" borderId="8" xfId="0" applyNumberFormat="1" applyFont="1" applyFill="1" applyBorder="1"/>
    <xf numFmtId="171" fontId="11" fillId="17" borderId="10" xfId="0" applyNumberFormat="1" applyFont="1" applyFill="1" applyBorder="1"/>
    <xf numFmtId="171" fontId="11" fillId="17" borderId="14" xfId="0" applyNumberFormat="1" applyFont="1" applyFill="1" applyBorder="1"/>
    <xf numFmtId="171" fontId="11" fillId="17" borderId="1" xfId="0" applyNumberFormat="1" applyFont="1" applyFill="1" applyBorder="1"/>
    <xf numFmtId="171" fontId="11" fillId="17" borderId="2" xfId="0" applyNumberFormat="1" applyFont="1" applyFill="1" applyBorder="1"/>
    <xf numFmtId="9" fontId="0" fillId="9" borderId="0" xfId="3" applyFont="1" applyFill="1"/>
    <xf numFmtId="41" fontId="0" fillId="9" borderId="0" xfId="0" applyNumberFormat="1" applyFill="1" applyAlignment="1">
      <alignment vertical="center" wrapText="1"/>
    </xf>
    <xf numFmtId="164" fontId="0" fillId="9" borderId="4" xfId="0" applyNumberFormat="1" applyFill="1" applyBorder="1" applyAlignment="1">
      <alignment vertical="center" wrapText="1"/>
    </xf>
    <xf numFmtId="41" fontId="0" fillId="9" borderId="4" xfId="0" applyNumberFormat="1" applyFill="1" applyBorder="1" applyAlignment="1">
      <alignment vertical="center" wrapText="1"/>
    </xf>
    <xf numFmtId="41" fontId="11" fillId="9" borderId="1" xfId="0" applyNumberFormat="1" applyFont="1" applyFill="1" applyBorder="1" applyAlignment="1">
      <alignment vertical="center" wrapText="1"/>
    </xf>
    <xf numFmtId="41" fontId="11" fillId="9" borderId="2" xfId="0" applyNumberFormat="1" applyFont="1" applyFill="1" applyBorder="1" applyAlignment="1">
      <alignment vertical="center" wrapText="1"/>
    </xf>
    <xf numFmtId="41" fontId="0" fillId="9" borderId="1" xfId="0" applyNumberFormat="1" applyFill="1" applyBorder="1" applyAlignment="1">
      <alignment vertical="center" wrapText="1"/>
    </xf>
    <xf numFmtId="41" fontId="0" fillId="9" borderId="2" xfId="0" applyNumberFormat="1" applyFill="1" applyBorder="1" applyAlignment="1">
      <alignment vertical="center" wrapText="1"/>
    </xf>
    <xf numFmtId="41" fontId="13" fillId="9" borderId="0" xfId="0" applyNumberFormat="1" applyFont="1" applyFill="1"/>
    <xf numFmtId="41" fontId="13" fillId="9" borderId="4" xfId="0" applyNumberFormat="1" applyFont="1" applyFill="1" applyBorder="1"/>
    <xf numFmtId="41" fontId="0" fillId="9" borderId="5" xfId="0" applyNumberFormat="1" applyFill="1" applyBorder="1"/>
    <xf numFmtId="41" fontId="0" fillId="9" borderId="0" xfId="0" applyNumberFormat="1" applyFill="1"/>
    <xf numFmtId="41" fontId="0" fillId="9" borderId="4" xfId="0" applyNumberFormat="1" applyFill="1" applyBorder="1"/>
    <xf numFmtId="41" fontId="11" fillId="13" borderId="0" xfId="0" applyNumberFormat="1" applyFont="1" applyFill="1"/>
    <xf numFmtId="41" fontId="11" fillId="13" borderId="4" xfId="0" applyNumberFormat="1" applyFont="1" applyFill="1" applyBorder="1"/>
    <xf numFmtId="41" fontId="0" fillId="9" borderId="0" xfId="0" applyNumberFormat="1" applyFill="1" applyAlignment="1">
      <alignment horizontal="right" vertical="center" wrapText="1"/>
    </xf>
    <xf numFmtId="41" fontId="0" fillId="9" borderId="3" xfId="3" applyNumberFormat="1" applyFont="1" applyFill="1" applyBorder="1" applyAlignment="1">
      <alignment horizontal="right" vertical="center" wrapText="1"/>
    </xf>
    <xf numFmtId="41" fontId="0" fillId="9" borderId="7" xfId="3" applyNumberFormat="1" applyFont="1" applyFill="1" applyBorder="1" applyAlignment="1">
      <alignment vertical="center" wrapText="1"/>
    </xf>
    <xf numFmtId="176" fontId="13" fillId="9" borderId="0" xfId="0" applyNumberFormat="1" applyFont="1" applyFill="1"/>
    <xf numFmtId="176" fontId="13" fillId="9" borderId="4" xfId="0" applyNumberFormat="1" applyFont="1" applyFill="1" applyBorder="1"/>
    <xf numFmtId="41" fontId="13" fillId="9" borderId="5" xfId="0" applyNumberFormat="1" applyFont="1" applyFill="1" applyBorder="1"/>
    <xf numFmtId="41" fontId="22" fillId="3" borderId="5" xfId="0" applyNumberFormat="1" applyFont="1" applyFill="1" applyBorder="1"/>
    <xf numFmtId="41" fontId="22" fillId="3" borderId="0" xfId="0" applyNumberFormat="1" applyFont="1" applyFill="1"/>
    <xf numFmtId="41" fontId="22" fillId="3" borderId="4" xfId="0" applyNumberFormat="1" applyFont="1" applyFill="1" applyBorder="1"/>
    <xf numFmtId="41" fontId="13" fillId="9" borderId="4" xfId="0" applyNumberFormat="1" applyFont="1" applyFill="1" applyBorder="1" applyAlignment="1">
      <alignment horizontal="right"/>
    </xf>
    <xf numFmtId="169" fontId="13" fillId="19" borderId="0" xfId="0" applyNumberFormat="1" applyFont="1" applyFill="1"/>
    <xf numFmtId="166" fontId="13" fillId="19" borderId="6" xfId="0" applyNumberFormat="1" applyFont="1" applyFill="1" applyBorder="1"/>
    <xf numFmtId="171" fontId="13" fillId="19" borderId="0" xfId="1" applyNumberFormat="1" applyFont="1" applyFill="1" applyBorder="1"/>
    <xf numFmtId="170" fontId="0" fillId="9" borderId="5" xfId="1" applyNumberFormat="1" applyFont="1" applyFill="1" applyBorder="1" applyAlignment="1">
      <alignment vertical="center" wrapText="1"/>
    </xf>
    <xf numFmtId="0" fontId="0" fillId="19" borderId="0" xfId="0" applyFill="1"/>
    <xf numFmtId="3" fontId="13" fillId="19" borderId="3" xfId="0" applyNumberFormat="1" applyFont="1" applyFill="1" applyBorder="1"/>
    <xf numFmtId="0" fontId="8" fillId="9" borderId="0" xfId="3" applyNumberFormat="1" applyFont="1" applyFill="1" applyBorder="1"/>
    <xf numFmtId="0" fontId="8" fillId="9" borderId="4" xfId="3" applyNumberFormat="1" applyFont="1" applyFill="1" applyBorder="1"/>
    <xf numFmtId="166" fontId="13" fillId="19" borderId="0" xfId="0" applyNumberFormat="1" applyFont="1" applyFill="1"/>
    <xf numFmtId="41" fontId="13" fillId="9" borderId="20" xfId="0" applyNumberFormat="1" applyFont="1" applyFill="1" applyBorder="1"/>
    <xf numFmtId="0" fontId="8" fillId="9" borderId="8" xfId="3" applyNumberFormat="1" applyFont="1" applyFill="1" applyBorder="1"/>
    <xf numFmtId="0" fontId="8" fillId="9" borderId="0" xfId="3" applyNumberFormat="1" applyFont="1" applyFill="1"/>
    <xf numFmtId="0" fontId="8" fillId="9" borderId="10" xfId="3" applyNumberFormat="1" applyFont="1" applyFill="1" applyBorder="1"/>
    <xf numFmtId="41" fontId="13" fillId="9" borderId="6" xfId="0" applyNumberFormat="1" applyFont="1" applyFill="1" applyBorder="1"/>
    <xf numFmtId="41" fontId="0" fillId="9" borderId="14" xfId="0" applyNumberFormat="1" applyFill="1" applyBorder="1" applyAlignment="1">
      <alignment vertical="center" wrapText="1"/>
    </xf>
    <xf numFmtId="164" fontId="0" fillId="9" borderId="0" xfId="0" applyNumberFormat="1" applyFill="1" applyAlignment="1">
      <alignment vertical="center" wrapText="1"/>
    </xf>
    <xf numFmtId="164" fontId="0" fillId="9" borderId="8" xfId="0" applyNumberFormat="1" applyFill="1" applyBorder="1" applyAlignment="1">
      <alignment vertical="center" wrapText="1"/>
    </xf>
    <xf numFmtId="171" fontId="0" fillId="9" borderId="0" xfId="1" applyNumberFormat="1" applyFont="1" applyFill="1" applyBorder="1" applyAlignment="1">
      <alignment vertical="center" wrapText="1"/>
    </xf>
    <xf numFmtId="0" fontId="38" fillId="9" borderId="0" xfId="11" applyFill="1"/>
    <xf numFmtId="0" fontId="46" fillId="21" borderId="29" xfId="11" applyFont="1" applyFill="1" applyBorder="1" applyAlignment="1">
      <alignment wrapText="1"/>
    </xf>
    <xf numFmtId="0" fontId="47" fillId="21" borderId="29" xfId="11" applyFont="1" applyFill="1" applyBorder="1" applyAlignment="1">
      <alignment wrapText="1"/>
    </xf>
    <xf numFmtId="0" fontId="49" fillId="22" borderId="31" xfId="11" applyFont="1" applyFill="1" applyBorder="1" applyAlignment="1">
      <alignment wrapText="1"/>
    </xf>
    <xf numFmtId="0" fontId="49" fillId="22" borderId="31" xfId="11" applyFont="1" applyFill="1" applyBorder="1" applyAlignment="1">
      <alignment horizontal="center" wrapText="1"/>
    </xf>
    <xf numFmtId="0" fontId="49" fillId="22" borderId="32" xfId="11" applyFont="1" applyFill="1" applyBorder="1" applyAlignment="1">
      <alignment horizontal="center" wrapText="1"/>
    </xf>
    <xf numFmtId="0" fontId="49" fillId="4" borderId="33" xfId="11" applyFont="1" applyFill="1" applyBorder="1" applyAlignment="1">
      <alignment horizontal="center" vertical="center" wrapText="1"/>
    </xf>
    <xf numFmtId="0" fontId="49" fillId="23" borderId="34" xfId="11" applyFont="1" applyFill="1" applyBorder="1" applyAlignment="1">
      <alignment horizontal="center" vertical="center" wrapText="1"/>
    </xf>
    <xf numFmtId="0" fontId="49" fillId="23" borderId="33" xfId="11" applyFont="1" applyFill="1" applyBorder="1" applyAlignment="1">
      <alignment horizontal="center" vertical="center" wrapText="1"/>
    </xf>
    <xf numFmtId="0" fontId="49" fillId="22" borderId="29" xfId="11" applyFont="1" applyFill="1" applyBorder="1" applyAlignment="1">
      <alignment horizontal="left" vertical="center" wrapText="1"/>
    </xf>
    <xf numFmtId="0" fontId="49" fillId="22" borderId="35" xfId="11" applyFont="1" applyFill="1" applyBorder="1" applyAlignment="1">
      <alignment horizontal="left" vertical="center" wrapText="1"/>
    </xf>
    <xf numFmtId="0" fontId="51" fillId="4" borderId="36" xfId="11" applyFont="1" applyFill="1" applyBorder="1" applyAlignment="1">
      <alignment horizontal="center" vertical="center" wrapText="1"/>
    </xf>
    <xf numFmtId="0" fontId="48" fillId="6" borderId="37" xfId="11" applyFont="1" applyFill="1" applyBorder="1" applyAlignment="1">
      <alignment horizontal="center" vertical="center" wrapText="1"/>
    </xf>
    <xf numFmtId="0" fontId="48" fillId="6" borderId="29" xfId="11" applyFont="1" applyFill="1" applyBorder="1" applyAlignment="1">
      <alignment horizontal="center" vertical="center" wrapText="1"/>
    </xf>
    <xf numFmtId="0" fontId="48" fillId="6" borderId="35" xfId="11" applyFont="1" applyFill="1" applyBorder="1" applyAlignment="1">
      <alignment horizontal="center" vertical="center" wrapText="1"/>
    </xf>
    <xf numFmtId="0" fontId="51" fillId="23" borderId="37" xfId="11" applyFont="1" applyFill="1" applyBorder="1" applyAlignment="1">
      <alignment horizontal="center" vertical="center" wrapText="1"/>
    </xf>
    <xf numFmtId="0" fontId="51" fillId="23" borderId="35" xfId="11" applyFont="1" applyFill="1" applyBorder="1" applyAlignment="1">
      <alignment horizontal="center" vertical="center" wrapText="1"/>
    </xf>
    <xf numFmtId="0" fontId="51" fillId="23" borderId="36" xfId="11" applyFont="1" applyFill="1" applyBorder="1" applyAlignment="1">
      <alignment horizontal="center" vertical="center" wrapText="1"/>
    </xf>
    <xf numFmtId="0" fontId="50" fillId="20" borderId="30" xfId="11" applyFont="1" applyFill="1" applyBorder="1" applyAlignment="1">
      <alignment wrapText="1"/>
    </xf>
    <xf numFmtId="0" fontId="51" fillId="21" borderId="31" xfId="11" applyFont="1" applyFill="1" applyBorder="1" applyAlignment="1">
      <alignment wrapText="1"/>
    </xf>
    <xf numFmtId="17" fontId="49" fillId="21" borderId="32" xfId="11" applyNumberFormat="1" applyFont="1" applyFill="1" applyBorder="1" applyAlignment="1">
      <alignment wrapText="1"/>
    </xf>
    <xf numFmtId="177" fontId="49" fillId="22" borderId="33" xfId="11" applyNumberFormat="1" applyFont="1" applyFill="1" applyBorder="1" applyAlignment="1">
      <alignment wrapText="1"/>
    </xf>
    <xf numFmtId="178" fontId="49" fillId="22" borderId="34" xfId="11" applyNumberFormat="1" applyFont="1" applyFill="1" applyBorder="1" applyAlignment="1">
      <alignment horizontal="right" wrapText="1"/>
    </xf>
    <xf numFmtId="178" fontId="49" fillId="22" borderId="31" xfId="11" applyNumberFormat="1" applyFont="1" applyFill="1" applyBorder="1" applyAlignment="1">
      <alignment horizontal="right" wrapText="1"/>
    </xf>
    <xf numFmtId="178" fontId="49" fillId="22" borderId="32" xfId="11" applyNumberFormat="1" applyFont="1" applyFill="1" applyBorder="1" applyAlignment="1">
      <alignment horizontal="right" wrapText="1"/>
    </xf>
    <xf numFmtId="177" fontId="49" fillId="9" borderId="34" xfId="11" applyNumberFormat="1" applyFont="1" applyFill="1" applyBorder="1" applyAlignment="1">
      <alignment wrapText="1"/>
    </xf>
    <xf numFmtId="177" fontId="49" fillId="9" borderId="32" xfId="11" applyNumberFormat="1" applyFont="1" applyFill="1" applyBorder="1" applyAlignment="1">
      <alignment wrapText="1"/>
    </xf>
    <xf numFmtId="177" fontId="49" fillId="9" borderId="33" xfId="11" applyNumberFormat="1" applyFont="1" applyFill="1" applyBorder="1" applyAlignment="1">
      <alignment wrapText="1"/>
    </xf>
    <xf numFmtId="0" fontId="51" fillId="21" borderId="29" xfId="11" applyFont="1" applyFill="1" applyBorder="1" applyAlignment="1">
      <alignment wrapText="1"/>
    </xf>
    <xf numFmtId="17" fontId="51" fillId="21" borderId="35" xfId="11" applyNumberFormat="1" applyFont="1" applyFill="1" applyBorder="1" applyAlignment="1">
      <alignment wrapText="1"/>
    </xf>
    <xf numFmtId="177" fontId="51" fillId="22" borderId="36" xfId="11" applyNumberFormat="1" applyFont="1" applyFill="1" applyBorder="1" applyAlignment="1">
      <alignment wrapText="1"/>
    </xf>
    <xf numFmtId="177" fontId="51" fillId="22" borderId="37" xfId="11" applyNumberFormat="1" applyFont="1" applyFill="1" applyBorder="1" applyAlignment="1">
      <alignment wrapText="1"/>
    </xf>
    <xf numFmtId="178" fontId="51" fillId="22" borderId="29" xfId="11" applyNumberFormat="1" applyFont="1" applyFill="1" applyBorder="1" applyAlignment="1">
      <alignment horizontal="right" wrapText="1"/>
    </xf>
    <xf numFmtId="178" fontId="51" fillId="22" borderId="35" xfId="11" applyNumberFormat="1" applyFont="1" applyFill="1" applyBorder="1" applyAlignment="1">
      <alignment horizontal="right" wrapText="1"/>
    </xf>
    <xf numFmtId="177" fontId="51" fillId="9" borderId="37" xfId="11" applyNumberFormat="1" applyFont="1" applyFill="1" applyBorder="1" applyAlignment="1">
      <alignment wrapText="1"/>
    </xf>
    <xf numFmtId="177" fontId="51" fillId="9" borderId="35" xfId="11" applyNumberFormat="1" applyFont="1" applyFill="1" applyBorder="1" applyAlignment="1">
      <alignment wrapText="1"/>
    </xf>
    <xf numFmtId="177" fontId="51" fillId="9" borderId="36" xfId="11" applyNumberFormat="1" applyFont="1" applyFill="1" applyBorder="1" applyAlignment="1">
      <alignment wrapText="1"/>
    </xf>
    <xf numFmtId="179" fontId="49" fillId="22" borderId="33" xfId="11" applyNumberFormat="1" applyFont="1" applyFill="1" applyBorder="1" applyAlignment="1">
      <alignment wrapText="1"/>
    </xf>
    <xf numFmtId="179" fontId="49" fillId="22" borderId="34" xfId="11" applyNumberFormat="1" applyFont="1" applyFill="1" applyBorder="1" applyAlignment="1">
      <alignment wrapText="1"/>
    </xf>
    <xf numFmtId="180" fontId="49" fillId="22" borderId="31" xfId="11" applyNumberFormat="1" applyFont="1" applyFill="1" applyBorder="1" applyAlignment="1">
      <alignment horizontal="right" wrapText="1"/>
    </xf>
    <xf numFmtId="180" fontId="49" fillId="22" borderId="32" xfId="11" applyNumberFormat="1" applyFont="1" applyFill="1" applyBorder="1" applyAlignment="1">
      <alignment horizontal="right" wrapText="1"/>
    </xf>
    <xf numFmtId="179" fontId="49" fillId="9" borderId="34" xfId="11" applyNumberFormat="1" applyFont="1" applyFill="1" applyBorder="1" applyAlignment="1">
      <alignment wrapText="1"/>
    </xf>
    <xf numFmtId="179" fontId="49" fillId="9" borderId="32" xfId="11" applyNumberFormat="1" applyFont="1" applyFill="1" applyBorder="1" applyAlignment="1">
      <alignment wrapText="1"/>
    </xf>
    <xf numFmtId="179" fontId="49" fillId="9" borderId="33" xfId="11" applyNumberFormat="1" applyFont="1" applyFill="1" applyBorder="1" applyAlignment="1">
      <alignment wrapText="1"/>
    </xf>
    <xf numFmtId="179" fontId="51" fillId="22" borderId="36" xfId="11" applyNumberFormat="1" applyFont="1" applyFill="1" applyBorder="1" applyAlignment="1">
      <alignment wrapText="1"/>
    </xf>
    <xf numFmtId="179" fontId="51" fillId="22" borderId="37" xfId="11" applyNumberFormat="1" applyFont="1" applyFill="1" applyBorder="1" applyAlignment="1">
      <alignment wrapText="1"/>
    </xf>
    <xf numFmtId="180" fontId="51" fillId="22" borderId="29" xfId="11" applyNumberFormat="1" applyFont="1" applyFill="1" applyBorder="1" applyAlignment="1">
      <alignment horizontal="right" wrapText="1"/>
    </xf>
    <xf numFmtId="180" fontId="51" fillId="22" borderId="35" xfId="11" applyNumberFormat="1" applyFont="1" applyFill="1" applyBorder="1" applyAlignment="1">
      <alignment horizontal="right" wrapText="1"/>
    </xf>
    <xf numFmtId="179" fontId="51" fillId="9" borderId="37" xfId="11" applyNumberFormat="1" applyFont="1" applyFill="1" applyBorder="1" applyAlignment="1">
      <alignment wrapText="1"/>
    </xf>
    <xf numFmtId="179" fontId="51" fillId="9" borderId="35" xfId="11" applyNumberFormat="1" applyFont="1" applyFill="1" applyBorder="1" applyAlignment="1">
      <alignment wrapText="1"/>
    </xf>
    <xf numFmtId="179" fontId="51" fillId="9" borderId="36" xfId="11" applyNumberFormat="1" applyFont="1" applyFill="1" applyBorder="1" applyAlignment="1">
      <alignment wrapText="1"/>
    </xf>
    <xf numFmtId="179" fontId="49" fillId="22" borderId="32" xfId="11" applyNumberFormat="1" applyFont="1" applyFill="1" applyBorder="1" applyAlignment="1">
      <alignment wrapText="1"/>
    </xf>
    <xf numFmtId="181" fontId="49" fillId="9" borderId="34" xfId="11" applyNumberFormat="1" applyFont="1" applyFill="1" applyBorder="1" applyAlignment="1">
      <alignment wrapText="1"/>
    </xf>
    <xf numFmtId="178" fontId="49" fillId="22" borderId="33" xfId="11" applyNumberFormat="1" applyFont="1" applyFill="1" applyBorder="1" applyAlignment="1">
      <alignment horizontal="right" wrapText="1"/>
    </xf>
    <xf numFmtId="177" fontId="49" fillId="22" borderId="34" xfId="11" applyNumberFormat="1" applyFont="1" applyFill="1" applyBorder="1" applyAlignment="1">
      <alignment wrapText="1"/>
    </xf>
    <xf numFmtId="182" fontId="49" fillId="9" borderId="34" xfId="11" applyNumberFormat="1" applyFont="1" applyFill="1" applyBorder="1" applyAlignment="1">
      <alignment wrapText="1"/>
    </xf>
    <xf numFmtId="178" fontId="51" fillId="22" borderId="36" xfId="11" applyNumberFormat="1" applyFont="1" applyFill="1" applyBorder="1" applyAlignment="1">
      <alignment horizontal="right" wrapText="1"/>
    </xf>
    <xf numFmtId="0" fontId="49" fillId="22" borderId="31" xfId="11" applyFont="1" applyFill="1" applyBorder="1" applyAlignment="1">
      <alignment horizontal="right" wrapText="1"/>
    </xf>
    <xf numFmtId="0" fontId="49" fillId="22" borderId="32" xfId="11" applyFont="1" applyFill="1" applyBorder="1" applyAlignment="1">
      <alignment horizontal="right" wrapText="1"/>
    </xf>
    <xf numFmtId="0" fontId="51" fillId="22" borderId="29" xfId="11" applyFont="1" applyFill="1" applyBorder="1" applyAlignment="1">
      <alignment horizontal="right" wrapText="1"/>
    </xf>
    <xf numFmtId="0" fontId="51" fillId="22" borderId="35" xfId="11" applyFont="1" applyFill="1" applyBorder="1" applyAlignment="1">
      <alignment horizontal="right" wrapText="1"/>
    </xf>
    <xf numFmtId="0" fontId="52" fillId="22" borderId="31" xfId="11" applyFont="1" applyFill="1" applyBorder="1" applyAlignment="1">
      <alignment horizontal="right" wrapText="1"/>
    </xf>
    <xf numFmtId="0" fontId="52" fillId="22" borderId="32" xfId="11" applyFont="1" applyFill="1" applyBorder="1" applyAlignment="1">
      <alignment horizontal="right" wrapText="1"/>
    </xf>
    <xf numFmtId="0" fontId="51" fillId="21" borderId="0" xfId="11" applyFont="1" applyFill="1" applyAlignment="1">
      <alignment wrapText="1"/>
    </xf>
    <xf numFmtId="17" fontId="51" fillId="21" borderId="38" xfId="11" applyNumberFormat="1" applyFont="1" applyFill="1" applyBorder="1" applyAlignment="1">
      <alignment wrapText="1"/>
    </xf>
    <xf numFmtId="177" fontId="51" fillId="22" borderId="39" xfId="11" applyNumberFormat="1" applyFont="1" applyFill="1" applyBorder="1" applyAlignment="1">
      <alignment wrapText="1"/>
    </xf>
    <xf numFmtId="177" fontId="51" fillId="22" borderId="40" xfId="11" applyNumberFormat="1" applyFont="1" applyFill="1" applyBorder="1" applyAlignment="1">
      <alignment wrapText="1"/>
    </xf>
    <xf numFmtId="0" fontId="53" fillId="22" borderId="0" xfId="11" applyFont="1" applyFill="1" applyAlignment="1">
      <alignment horizontal="right" wrapText="1"/>
    </xf>
    <xf numFmtId="0" fontId="53" fillId="22" borderId="38" xfId="11" applyFont="1" applyFill="1" applyBorder="1" applyAlignment="1">
      <alignment horizontal="right" wrapText="1"/>
    </xf>
    <xf numFmtId="177" fontId="51" fillId="9" borderId="40" xfId="11" applyNumberFormat="1" applyFont="1" applyFill="1" applyBorder="1" applyAlignment="1">
      <alignment wrapText="1"/>
    </xf>
    <xf numFmtId="177" fontId="51" fillId="9" borderId="38" xfId="11" applyNumberFormat="1" applyFont="1" applyFill="1" applyBorder="1" applyAlignment="1">
      <alignment wrapText="1"/>
    </xf>
    <xf numFmtId="177" fontId="51" fillId="9" borderId="39" xfId="11" applyNumberFormat="1" applyFont="1" applyFill="1" applyBorder="1" applyAlignment="1">
      <alignment wrapText="1"/>
    </xf>
    <xf numFmtId="0" fontId="48" fillId="21" borderId="0" xfId="11" applyFont="1" applyFill="1" applyAlignment="1">
      <alignment wrapText="1"/>
    </xf>
    <xf numFmtId="17" fontId="49" fillId="21" borderId="38" xfId="11" applyNumberFormat="1" applyFont="1" applyFill="1" applyBorder="1" applyAlignment="1">
      <alignment wrapText="1"/>
    </xf>
    <xf numFmtId="177" fontId="49" fillId="22" borderId="39" xfId="11" applyNumberFormat="1" applyFont="1" applyFill="1" applyBorder="1" applyAlignment="1">
      <alignment wrapText="1"/>
    </xf>
    <xf numFmtId="177" fontId="49" fillId="22" borderId="40" xfId="11" applyNumberFormat="1" applyFont="1" applyFill="1" applyBorder="1" applyAlignment="1">
      <alignment wrapText="1"/>
    </xf>
    <xf numFmtId="0" fontId="52" fillId="22" borderId="0" xfId="11" applyFont="1" applyFill="1" applyAlignment="1">
      <alignment horizontal="right" wrapText="1"/>
    </xf>
    <xf numFmtId="0" fontId="52" fillId="22" borderId="38" xfId="11" applyFont="1" applyFill="1" applyBorder="1" applyAlignment="1">
      <alignment wrapText="1"/>
    </xf>
    <xf numFmtId="177" fontId="49" fillId="9" borderId="40" xfId="11" applyNumberFormat="1" applyFont="1" applyFill="1" applyBorder="1" applyAlignment="1">
      <alignment wrapText="1"/>
    </xf>
    <xf numFmtId="177" fontId="49" fillId="9" borderId="38" xfId="11" applyNumberFormat="1" applyFont="1" applyFill="1" applyBorder="1" applyAlignment="1">
      <alignment wrapText="1"/>
    </xf>
    <xf numFmtId="177" fontId="49" fillId="9" borderId="39" xfId="11" applyNumberFormat="1" applyFont="1" applyFill="1" applyBorder="1" applyAlignment="1">
      <alignment wrapText="1"/>
    </xf>
    <xf numFmtId="0" fontId="53" fillId="22" borderId="29" xfId="11" applyFont="1" applyFill="1" applyBorder="1" applyAlignment="1">
      <alignment horizontal="right" wrapText="1"/>
    </xf>
    <xf numFmtId="0" fontId="53" fillId="22" borderId="35" xfId="11" applyFont="1" applyFill="1" applyBorder="1" applyAlignment="1">
      <alignment wrapText="1"/>
    </xf>
    <xf numFmtId="183" fontId="49" fillId="9" borderId="32" xfId="11" applyNumberFormat="1" applyFont="1" applyFill="1" applyBorder="1" applyAlignment="1">
      <alignment horizontal="right" wrapText="1"/>
    </xf>
    <xf numFmtId="182" fontId="51" fillId="22" borderId="39" xfId="11" applyNumberFormat="1" applyFont="1" applyFill="1" applyBorder="1" applyAlignment="1">
      <alignment wrapText="1"/>
    </xf>
    <xf numFmtId="182" fontId="51" fillId="9" borderId="40" xfId="11" applyNumberFormat="1" applyFont="1" applyFill="1" applyBorder="1" applyAlignment="1">
      <alignment wrapText="1"/>
    </xf>
    <xf numFmtId="182" fontId="51" fillId="9" borderId="38" xfId="11" applyNumberFormat="1" applyFont="1" applyFill="1" applyBorder="1" applyAlignment="1">
      <alignment wrapText="1"/>
    </xf>
    <xf numFmtId="0" fontId="52" fillId="22" borderId="38" xfId="11" applyFont="1" applyFill="1" applyBorder="1" applyAlignment="1">
      <alignment horizontal="right" wrapText="1"/>
    </xf>
    <xf numFmtId="182" fontId="49" fillId="22" borderId="39" xfId="11" applyNumberFormat="1" applyFont="1" applyFill="1" applyBorder="1" applyAlignment="1">
      <alignment wrapText="1"/>
    </xf>
    <xf numFmtId="182" fontId="49" fillId="22" borderId="40" xfId="11" applyNumberFormat="1" applyFont="1" applyFill="1" applyBorder="1" applyAlignment="1">
      <alignment wrapText="1"/>
    </xf>
    <xf numFmtId="182" fontId="49" fillId="9" borderId="40" xfId="11" applyNumberFormat="1" applyFont="1" applyFill="1" applyBorder="1" applyAlignment="1">
      <alignment wrapText="1"/>
    </xf>
    <xf numFmtId="182" fontId="49" fillId="9" borderId="38" xfId="11" applyNumberFormat="1" applyFont="1" applyFill="1" applyBorder="1" applyAlignment="1">
      <alignment wrapText="1"/>
    </xf>
    <xf numFmtId="182" fontId="49" fillId="9" borderId="39" xfId="11" applyNumberFormat="1" applyFont="1" applyFill="1" applyBorder="1" applyAlignment="1">
      <alignment wrapText="1"/>
    </xf>
    <xf numFmtId="182" fontId="51" fillId="22" borderId="40" xfId="11" applyNumberFormat="1" applyFont="1" applyFill="1" applyBorder="1" applyAlignment="1">
      <alignment wrapText="1"/>
    </xf>
    <xf numFmtId="182" fontId="51" fillId="9" borderId="39" xfId="11" applyNumberFormat="1" applyFont="1" applyFill="1" applyBorder="1" applyAlignment="1">
      <alignment wrapText="1"/>
    </xf>
    <xf numFmtId="0" fontId="53" fillId="22" borderId="35" xfId="11" applyFont="1" applyFill="1" applyBorder="1" applyAlignment="1">
      <alignment horizontal="right" wrapText="1"/>
    </xf>
    <xf numFmtId="0" fontId="51" fillId="21" borderId="31" xfId="11" applyFont="1" applyFill="1" applyBorder="1" applyAlignment="1">
      <alignment horizontal="left" wrapText="1"/>
    </xf>
    <xf numFmtId="182" fontId="49" fillId="22" borderId="33" xfId="11" applyNumberFormat="1" applyFont="1" applyFill="1" applyBorder="1" applyAlignment="1">
      <alignment wrapText="1"/>
    </xf>
    <xf numFmtId="182" fontId="49" fillId="22" borderId="34" xfId="11" applyNumberFormat="1" applyFont="1" applyFill="1" applyBorder="1" applyAlignment="1">
      <alignment wrapText="1"/>
    </xf>
    <xf numFmtId="182" fontId="49" fillId="9" borderId="33" xfId="11" applyNumberFormat="1" applyFont="1" applyFill="1" applyBorder="1" applyAlignment="1">
      <alignment wrapText="1"/>
    </xf>
    <xf numFmtId="0" fontId="51" fillId="21" borderId="0" xfId="11" applyFont="1" applyFill="1" applyAlignment="1">
      <alignment horizontal="left" wrapText="1"/>
    </xf>
    <xf numFmtId="183" fontId="51" fillId="9" borderId="37" xfId="11" applyNumberFormat="1" applyFont="1" applyFill="1" applyBorder="1" applyAlignment="1">
      <alignment horizontal="right" wrapText="1"/>
    </xf>
    <xf numFmtId="0" fontId="51" fillId="22" borderId="0" xfId="11" applyFont="1" applyFill="1" applyAlignment="1">
      <alignment horizontal="right" wrapText="1"/>
    </xf>
    <xf numFmtId="0" fontId="51" fillId="22" borderId="38" xfId="11" applyFont="1" applyFill="1" applyBorder="1" applyAlignment="1">
      <alignment horizontal="right" wrapText="1"/>
    </xf>
    <xf numFmtId="0" fontId="48" fillId="21" borderId="0" xfId="11" applyFont="1" applyFill="1" applyAlignment="1">
      <alignment horizontal="left" wrapText="1"/>
    </xf>
    <xf numFmtId="0" fontId="49" fillId="22" borderId="0" xfId="11" applyFont="1" applyFill="1" applyAlignment="1">
      <alignment horizontal="right" wrapText="1"/>
    </xf>
    <xf numFmtId="0" fontId="49" fillId="22" borderId="38" xfId="11" applyFont="1" applyFill="1" applyBorder="1" applyAlignment="1">
      <alignment horizontal="right" wrapText="1"/>
    </xf>
    <xf numFmtId="0" fontId="50" fillId="20" borderId="29" xfId="11" applyFont="1" applyFill="1" applyBorder="1" applyAlignment="1">
      <alignment wrapText="1"/>
    </xf>
    <xf numFmtId="0" fontId="38" fillId="0" borderId="0" xfId="11"/>
    <xf numFmtId="0" fontId="47" fillId="21" borderId="41" xfId="11" applyFont="1" applyFill="1" applyBorder="1" applyAlignment="1">
      <alignment horizontal="left" wrapText="1"/>
    </xf>
    <xf numFmtId="0" fontId="50" fillId="20" borderId="42" xfId="11" applyFont="1" applyFill="1" applyBorder="1" applyAlignment="1">
      <alignment horizontal="left" wrapText="1"/>
    </xf>
    <xf numFmtId="0" fontId="50" fillId="20" borderId="43" xfId="11" applyFont="1" applyFill="1" applyBorder="1" applyAlignment="1">
      <alignment horizontal="left" wrapText="1"/>
    </xf>
    <xf numFmtId="0" fontId="50" fillId="20" borderId="44" xfId="11" applyFont="1" applyFill="1" applyBorder="1" applyAlignment="1">
      <alignment horizontal="left" wrapText="1"/>
    </xf>
    <xf numFmtId="0" fontId="49" fillId="23" borderId="46" xfId="11" applyFont="1" applyFill="1" applyBorder="1" applyAlignment="1">
      <alignment wrapText="1"/>
    </xf>
    <xf numFmtId="0" fontId="49" fillId="23" borderId="47" xfId="11" applyFont="1" applyFill="1" applyBorder="1" applyAlignment="1">
      <alignment wrapText="1"/>
    </xf>
    <xf numFmtId="0" fontId="49" fillId="23" borderId="48" xfId="11" applyFont="1" applyFill="1" applyBorder="1" applyAlignment="1">
      <alignment horizontal="center" wrapText="1"/>
    </xf>
    <xf numFmtId="0" fontId="49" fillId="23" borderId="49" xfId="11" applyFont="1" applyFill="1" applyBorder="1" applyAlignment="1">
      <alignment horizontal="center" wrapText="1"/>
    </xf>
    <xf numFmtId="0" fontId="49" fillId="23" borderId="29" xfId="11" applyFont="1" applyFill="1" applyBorder="1" applyAlignment="1">
      <alignment horizontal="left" wrapText="1"/>
    </xf>
    <xf numFmtId="0" fontId="49" fillId="23" borderId="35" xfId="11" applyFont="1" applyFill="1" applyBorder="1" applyAlignment="1">
      <alignment horizontal="left" wrapText="1"/>
    </xf>
    <xf numFmtId="0" fontId="51" fillId="3" borderId="37" xfId="11" applyFont="1" applyFill="1" applyBorder="1" applyAlignment="1">
      <alignment horizontal="center" wrapText="1"/>
    </xf>
    <xf numFmtId="0" fontId="51" fillId="3" borderId="29" xfId="11" applyFont="1" applyFill="1" applyBorder="1" applyAlignment="1">
      <alignment horizontal="center" wrapText="1"/>
    </xf>
    <xf numFmtId="0" fontId="51" fillId="3" borderId="35" xfId="11" applyFont="1" applyFill="1" applyBorder="1" applyAlignment="1">
      <alignment horizontal="center" wrapText="1"/>
    </xf>
    <xf numFmtId="0" fontId="51" fillId="23" borderId="37" xfId="11" applyFont="1" applyFill="1" applyBorder="1" applyAlignment="1">
      <alignment horizontal="center" wrapText="1"/>
    </xf>
    <xf numFmtId="0" fontId="51" fillId="23" borderId="35" xfId="11" applyFont="1" applyFill="1" applyBorder="1" applyAlignment="1">
      <alignment horizontal="center" wrapText="1"/>
    </xf>
    <xf numFmtId="0" fontId="51" fillId="23" borderId="36" xfId="11" applyFont="1" applyFill="1" applyBorder="1" applyAlignment="1">
      <alignment horizontal="center" wrapText="1"/>
    </xf>
    <xf numFmtId="0" fontId="51" fillId="9" borderId="31" xfId="11" applyFont="1" applyFill="1" applyBorder="1" applyAlignment="1">
      <alignment wrapText="1"/>
    </xf>
    <xf numFmtId="0" fontId="49" fillId="21" borderId="32" xfId="11" applyFont="1" applyFill="1" applyBorder="1" applyAlignment="1">
      <alignment horizontal="right" wrapText="1"/>
    </xf>
    <xf numFmtId="177" fontId="49" fillId="24" borderId="34" xfId="11" applyNumberFormat="1" applyFont="1" applyFill="1" applyBorder="1" applyAlignment="1">
      <alignment wrapText="1"/>
    </xf>
    <xf numFmtId="177" fontId="49" fillId="24" borderId="31" xfId="11" applyNumberFormat="1" applyFont="1" applyFill="1" applyBorder="1" applyAlignment="1">
      <alignment wrapText="1"/>
    </xf>
    <xf numFmtId="177" fontId="49" fillId="24" borderId="32" xfId="11" applyNumberFormat="1" applyFont="1" applyFill="1" applyBorder="1" applyAlignment="1">
      <alignment wrapText="1"/>
    </xf>
    <xf numFmtId="177" fontId="49" fillId="21" borderId="34" xfId="11" applyNumberFormat="1" applyFont="1" applyFill="1" applyBorder="1" applyAlignment="1">
      <alignment wrapText="1"/>
    </xf>
    <xf numFmtId="177" fontId="49" fillId="21" borderId="32" xfId="11" applyNumberFormat="1" applyFont="1" applyFill="1" applyBorder="1" applyAlignment="1">
      <alignment wrapText="1"/>
    </xf>
    <xf numFmtId="177" fontId="49" fillId="21" borderId="33" xfId="11" applyNumberFormat="1" applyFont="1" applyFill="1" applyBorder="1" applyAlignment="1">
      <alignment wrapText="1"/>
    </xf>
    <xf numFmtId="0" fontId="51" fillId="9" borderId="29" xfId="11" applyFont="1" applyFill="1" applyBorder="1" applyAlignment="1">
      <alignment wrapText="1"/>
    </xf>
    <xf numFmtId="0" fontId="51" fillId="21" borderId="35" xfId="11" applyFont="1" applyFill="1" applyBorder="1" applyAlignment="1">
      <alignment horizontal="right" wrapText="1"/>
    </xf>
    <xf numFmtId="177" fontId="51" fillId="24" borderId="37" xfId="11" applyNumberFormat="1" applyFont="1" applyFill="1" applyBorder="1" applyAlignment="1">
      <alignment wrapText="1"/>
    </xf>
    <xf numFmtId="177" fontId="51" fillId="24" borderId="29" xfId="11" applyNumberFormat="1" applyFont="1" applyFill="1" applyBorder="1" applyAlignment="1">
      <alignment wrapText="1"/>
    </xf>
    <xf numFmtId="177" fontId="51" fillId="24" borderId="35" xfId="11" applyNumberFormat="1" applyFont="1" applyFill="1" applyBorder="1" applyAlignment="1">
      <alignment wrapText="1"/>
    </xf>
    <xf numFmtId="177" fontId="51" fillId="21" borderId="37" xfId="11" applyNumberFormat="1" applyFont="1" applyFill="1" applyBorder="1" applyAlignment="1">
      <alignment wrapText="1"/>
    </xf>
    <xf numFmtId="177" fontId="51" fillId="21" borderId="35" xfId="11" applyNumberFormat="1" applyFont="1" applyFill="1" applyBorder="1" applyAlignment="1">
      <alignment wrapText="1"/>
    </xf>
    <xf numFmtId="177" fontId="51" fillId="21" borderId="36" xfId="11" applyNumberFormat="1" applyFont="1" applyFill="1" applyBorder="1" applyAlignment="1">
      <alignment wrapText="1"/>
    </xf>
    <xf numFmtId="179" fontId="49" fillId="24" borderId="34" xfId="11" applyNumberFormat="1" applyFont="1" applyFill="1" applyBorder="1" applyAlignment="1">
      <alignment wrapText="1"/>
    </xf>
    <xf numFmtId="179" fontId="49" fillId="24" borderId="31" xfId="11" applyNumberFormat="1" applyFont="1" applyFill="1" applyBorder="1" applyAlignment="1">
      <alignment wrapText="1"/>
    </xf>
    <xf numFmtId="179" fontId="49" fillId="24" borderId="32" xfId="11" applyNumberFormat="1" applyFont="1" applyFill="1" applyBorder="1" applyAlignment="1">
      <alignment wrapText="1"/>
    </xf>
    <xf numFmtId="179" fontId="49" fillId="21" borderId="34" xfId="11" applyNumberFormat="1" applyFont="1" applyFill="1" applyBorder="1" applyAlignment="1">
      <alignment wrapText="1"/>
    </xf>
    <xf numFmtId="179" fontId="49" fillId="21" borderId="32" xfId="11" applyNumberFormat="1" applyFont="1" applyFill="1" applyBorder="1" applyAlignment="1">
      <alignment wrapText="1"/>
    </xf>
    <xf numFmtId="179" fontId="49" fillId="21" borderId="33" xfId="11" applyNumberFormat="1" applyFont="1" applyFill="1" applyBorder="1" applyAlignment="1">
      <alignment wrapText="1"/>
    </xf>
    <xf numFmtId="179" fontId="51" fillId="24" borderId="37" xfId="11" applyNumberFormat="1" applyFont="1" applyFill="1" applyBorder="1" applyAlignment="1">
      <alignment wrapText="1"/>
    </xf>
    <xf numFmtId="179" fontId="51" fillId="24" borderId="29" xfId="11" applyNumberFormat="1" applyFont="1" applyFill="1" applyBorder="1" applyAlignment="1">
      <alignment wrapText="1"/>
    </xf>
    <xf numFmtId="179" fontId="51" fillId="24" borderId="35" xfId="11" applyNumberFormat="1" applyFont="1" applyFill="1" applyBorder="1" applyAlignment="1">
      <alignment wrapText="1"/>
    </xf>
    <xf numFmtId="179" fontId="51" fillId="21" borderId="37" xfId="11" applyNumberFormat="1" applyFont="1" applyFill="1" applyBorder="1" applyAlignment="1">
      <alignment wrapText="1"/>
    </xf>
    <xf numFmtId="179" fontId="51" fillId="21" borderId="35" xfId="11" applyNumberFormat="1" applyFont="1" applyFill="1" applyBorder="1" applyAlignment="1">
      <alignment wrapText="1"/>
    </xf>
    <xf numFmtId="179" fontId="51" fillId="21" borderId="36" xfId="11" applyNumberFormat="1" applyFont="1" applyFill="1" applyBorder="1" applyAlignment="1">
      <alignment wrapText="1"/>
    </xf>
    <xf numFmtId="0" fontId="51" fillId="9" borderId="0" xfId="11" applyFont="1" applyFill="1" applyAlignment="1">
      <alignment wrapText="1"/>
    </xf>
    <xf numFmtId="0" fontId="51" fillId="21" borderId="38" xfId="11" applyFont="1" applyFill="1" applyBorder="1" applyAlignment="1">
      <alignment horizontal="right" wrapText="1"/>
    </xf>
    <xf numFmtId="182" fontId="51" fillId="24" borderId="40" xfId="11" applyNumberFormat="1" applyFont="1" applyFill="1" applyBorder="1" applyAlignment="1">
      <alignment wrapText="1"/>
    </xf>
    <xf numFmtId="182" fontId="51" fillId="24" borderId="0" xfId="11" applyNumberFormat="1" applyFont="1" applyFill="1" applyAlignment="1">
      <alignment wrapText="1"/>
    </xf>
    <xf numFmtId="182" fontId="51" fillId="24" borderId="38" xfId="11" applyNumberFormat="1" applyFont="1" applyFill="1" applyBorder="1" applyAlignment="1">
      <alignment wrapText="1"/>
    </xf>
    <xf numFmtId="182" fontId="51" fillId="21" borderId="40" xfId="11" applyNumberFormat="1" applyFont="1" applyFill="1" applyBorder="1" applyAlignment="1">
      <alignment wrapText="1"/>
    </xf>
    <xf numFmtId="177" fontId="51" fillId="21" borderId="38" xfId="11" applyNumberFormat="1" applyFont="1" applyFill="1" applyBorder="1" applyAlignment="1">
      <alignment wrapText="1"/>
    </xf>
    <xf numFmtId="182" fontId="51" fillId="21" borderId="38" xfId="11" applyNumberFormat="1" applyFont="1" applyFill="1" applyBorder="1" applyAlignment="1">
      <alignment wrapText="1"/>
    </xf>
    <xf numFmtId="182" fontId="51" fillId="21" borderId="39" xfId="11" applyNumberFormat="1" applyFont="1" applyFill="1" applyBorder="1" applyAlignment="1">
      <alignment wrapText="1"/>
    </xf>
    <xf numFmtId="0" fontId="49" fillId="21" borderId="38" xfId="11" applyFont="1" applyFill="1" applyBorder="1" applyAlignment="1">
      <alignment horizontal="right" wrapText="1"/>
    </xf>
    <xf numFmtId="177" fontId="49" fillId="24" borderId="40" xfId="11" applyNumberFormat="1" applyFont="1" applyFill="1" applyBorder="1" applyAlignment="1">
      <alignment wrapText="1"/>
    </xf>
    <xf numFmtId="177" fontId="49" fillId="24" borderId="0" xfId="11" applyNumberFormat="1" applyFont="1" applyFill="1" applyAlignment="1">
      <alignment wrapText="1"/>
    </xf>
    <xf numFmtId="177" fontId="49" fillId="24" borderId="38" xfId="11" applyNumberFormat="1" applyFont="1" applyFill="1" applyBorder="1" applyAlignment="1">
      <alignment wrapText="1"/>
    </xf>
    <xf numFmtId="177" fontId="49" fillId="21" borderId="40" xfId="11" applyNumberFormat="1" applyFont="1" applyFill="1" applyBorder="1" applyAlignment="1">
      <alignment wrapText="1"/>
    </xf>
    <xf numFmtId="177" fontId="49" fillId="21" borderId="38" xfId="11" applyNumberFormat="1" applyFont="1" applyFill="1" applyBorder="1" applyAlignment="1">
      <alignment wrapText="1"/>
    </xf>
    <xf numFmtId="177" fontId="49" fillId="21" borderId="39" xfId="11" applyNumberFormat="1" applyFont="1" applyFill="1" applyBorder="1" applyAlignment="1">
      <alignment wrapText="1"/>
    </xf>
    <xf numFmtId="182" fontId="49" fillId="24" borderId="34" xfId="11" applyNumberFormat="1" applyFont="1" applyFill="1" applyBorder="1" applyAlignment="1">
      <alignment wrapText="1"/>
    </xf>
    <xf numFmtId="182" fontId="49" fillId="24" borderId="31" xfId="11" applyNumberFormat="1" applyFont="1" applyFill="1" applyBorder="1" applyAlignment="1">
      <alignment wrapText="1"/>
    </xf>
    <xf numFmtId="182" fontId="49" fillId="24" borderId="32" xfId="11" applyNumberFormat="1" applyFont="1" applyFill="1" applyBorder="1" applyAlignment="1">
      <alignment wrapText="1"/>
    </xf>
    <xf numFmtId="182" fontId="49" fillId="21" borderId="34" xfId="11" applyNumberFormat="1" applyFont="1" applyFill="1" applyBorder="1" applyAlignment="1">
      <alignment wrapText="1"/>
    </xf>
    <xf numFmtId="182" fontId="49" fillId="21" borderId="32" xfId="11" applyNumberFormat="1" applyFont="1" applyFill="1" applyBorder="1" applyAlignment="1">
      <alignment wrapText="1"/>
    </xf>
    <xf numFmtId="182" fontId="49" fillId="21" borderId="33" xfId="11" applyNumberFormat="1" applyFont="1" applyFill="1" applyBorder="1" applyAlignment="1">
      <alignment wrapText="1"/>
    </xf>
    <xf numFmtId="0" fontId="49" fillId="24" borderId="31" xfId="11" applyFont="1" applyFill="1" applyBorder="1" applyAlignment="1">
      <alignment horizontal="right" wrapText="1"/>
    </xf>
    <xf numFmtId="0" fontId="49" fillId="24" borderId="32" xfId="11" applyFont="1" applyFill="1" applyBorder="1" applyAlignment="1">
      <alignment horizontal="right" wrapText="1"/>
    </xf>
    <xf numFmtId="184" fontId="49" fillId="21" borderId="33" xfId="11" applyNumberFormat="1" applyFont="1" applyFill="1" applyBorder="1" applyAlignment="1">
      <alignment horizontal="right" wrapText="1"/>
    </xf>
    <xf numFmtId="177" fontId="51" fillId="24" borderId="40" xfId="11" applyNumberFormat="1" applyFont="1" applyFill="1" applyBorder="1" applyAlignment="1">
      <alignment wrapText="1"/>
    </xf>
    <xf numFmtId="0" fontId="51" fillId="24" borderId="0" xfId="11" applyFont="1" applyFill="1" applyAlignment="1">
      <alignment horizontal="right" wrapText="1"/>
    </xf>
    <xf numFmtId="0" fontId="51" fillId="24" borderId="38" xfId="11" applyFont="1" applyFill="1" applyBorder="1" applyAlignment="1">
      <alignment horizontal="right" wrapText="1"/>
    </xf>
    <xf numFmtId="184" fontId="51" fillId="21" borderId="39" xfId="11" applyNumberFormat="1" applyFont="1" applyFill="1" applyBorder="1" applyAlignment="1">
      <alignment horizontal="right" wrapText="1"/>
    </xf>
    <xf numFmtId="177" fontId="51" fillId="21" borderId="40" xfId="11" applyNumberFormat="1" applyFont="1" applyFill="1" applyBorder="1" applyAlignment="1">
      <alignment wrapText="1"/>
    </xf>
    <xf numFmtId="0" fontId="48" fillId="9" borderId="0" xfId="11" applyFont="1" applyFill="1" applyAlignment="1">
      <alignment wrapText="1"/>
    </xf>
    <xf numFmtId="0" fontId="49" fillId="24" borderId="0" xfId="11" applyFont="1" applyFill="1" applyAlignment="1">
      <alignment horizontal="right" wrapText="1"/>
    </xf>
    <xf numFmtId="0" fontId="49" fillId="24" borderId="38" xfId="11" applyFont="1" applyFill="1" applyBorder="1" applyAlignment="1">
      <alignment horizontal="right" wrapText="1"/>
    </xf>
    <xf numFmtId="184" fontId="49" fillId="21" borderId="39" xfId="11" applyNumberFormat="1" applyFont="1" applyFill="1" applyBorder="1" applyAlignment="1">
      <alignment horizontal="right" wrapText="1"/>
    </xf>
    <xf numFmtId="0" fontId="51" fillId="24" borderId="29" xfId="11" applyFont="1" applyFill="1" applyBorder="1" applyAlignment="1">
      <alignment horizontal="right" wrapText="1"/>
    </xf>
    <xf numFmtId="0" fontId="51" fillId="24" borderId="35" xfId="11" applyFont="1" applyFill="1" applyBorder="1" applyAlignment="1">
      <alignment horizontal="right" wrapText="1"/>
    </xf>
    <xf numFmtId="184" fontId="51" fillId="21" borderId="36" xfId="11" applyNumberFormat="1" applyFont="1" applyFill="1" applyBorder="1" applyAlignment="1">
      <alignment horizontal="right" wrapText="1"/>
    </xf>
    <xf numFmtId="177" fontId="51" fillId="24" borderId="0" xfId="11" applyNumberFormat="1" applyFont="1" applyFill="1" applyAlignment="1">
      <alignment wrapText="1"/>
    </xf>
    <xf numFmtId="177" fontId="51" fillId="24" borderId="38" xfId="11" applyNumberFormat="1" applyFont="1" applyFill="1" applyBorder="1" applyAlignment="1">
      <alignment wrapText="1"/>
    </xf>
    <xf numFmtId="177" fontId="51" fillId="21" borderId="39" xfId="11" applyNumberFormat="1" applyFont="1" applyFill="1" applyBorder="1" applyAlignment="1">
      <alignment wrapText="1"/>
    </xf>
    <xf numFmtId="182" fontId="49" fillId="24" borderId="40" xfId="11" applyNumberFormat="1" applyFont="1" applyFill="1" applyBorder="1" applyAlignment="1">
      <alignment wrapText="1"/>
    </xf>
    <xf numFmtId="182" fontId="49" fillId="24" borderId="0" xfId="11" applyNumberFormat="1" applyFont="1" applyFill="1" applyAlignment="1">
      <alignment wrapText="1"/>
    </xf>
    <xf numFmtId="182" fontId="49" fillId="24" borderId="38" xfId="11" applyNumberFormat="1" applyFont="1" applyFill="1" applyBorder="1" applyAlignment="1">
      <alignment wrapText="1"/>
    </xf>
    <xf numFmtId="182" fontId="49" fillId="21" borderId="40" xfId="11" applyNumberFormat="1" applyFont="1" applyFill="1" applyBorder="1" applyAlignment="1">
      <alignment wrapText="1"/>
    </xf>
    <xf numFmtId="182" fontId="49" fillId="21" borderId="38" xfId="11" applyNumberFormat="1" applyFont="1" applyFill="1" applyBorder="1" applyAlignment="1">
      <alignment wrapText="1"/>
    </xf>
    <xf numFmtId="182" fontId="49" fillId="21" borderId="39" xfId="11" applyNumberFormat="1" applyFont="1" applyFill="1" applyBorder="1" applyAlignment="1">
      <alignment wrapText="1"/>
    </xf>
    <xf numFmtId="184" fontId="49" fillId="21" borderId="40" xfId="11" applyNumberFormat="1" applyFont="1" applyFill="1" applyBorder="1" applyAlignment="1">
      <alignment horizontal="right" wrapText="1"/>
    </xf>
    <xf numFmtId="0" fontId="51" fillId="9" borderId="0" xfId="11" applyFont="1" applyFill="1" applyAlignment="1">
      <alignment horizontal="left" vertical="top" wrapText="1"/>
    </xf>
    <xf numFmtId="186" fontId="49" fillId="24" borderId="40" xfId="11" applyNumberFormat="1" applyFont="1" applyFill="1" applyBorder="1" applyAlignment="1">
      <alignment wrapText="1"/>
    </xf>
    <xf numFmtId="0" fontId="48" fillId="20" borderId="30" xfId="11" applyFont="1" applyFill="1" applyBorder="1" applyAlignment="1">
      <alignment wrapText="1"/>
    </xf>
    <xf numFmtId="0" fontId="50" fillId="20" borderId="30" xfId="11" applyFont="1" applyFill="1" applyBorder="1" applyAlignment="1">
      <alignment horizontal="center" wrapText="1"/>
    </xf>
    <xf numFmtId="0" fontId="48" fillId="20" borderId="29" xfId="11" applyFont="1" applyFill="1" applyBorder="1" applyAlignment="1">
      <alignment wrapText="1"/>
    </xf>
    <xf numFmtId="0" fontId="48" fillId="20" borderId="35" xfId="11" applyFont="1" applyFill="1" applyBorder="1" applyAlignment="1">
      <alignment wrapText="1"/>
    </xf>
    <xf numFmtId="0" fontId="51" fillId="20" borderId="37" xfId="11" applyFont="1" applyFill="1" applyBorder="1" applyAlignment="1">
      <alignment horizontal="right" wrapText="1"/>
    </xf>
    <xf numFmtId="0" fontId="47" fillId="21" borderId="0" xfId="11" applyFont="1" applyFill="1" applyAlignment="1">
      <alignment wrapText="1"/>
    </xf>
    <xf numFmtId="172" fontId="11" fillId="9" borderId="0" xfId="0" applyNumberFormat="1" applyFont="1" applyFill="1"/>
    <xf numFmtId="166" fontId="0" fillId="0" borderId="0" xfId="0" applyNumberFormat="1" applyAlignment="1">
      <alignment horizontal="center"/>
    </xf>
    <xf numFmtId="184" fontId="51" fillId="21" borderId="40" xfId="11" applyNumberFormat="1" applyFont="1" applyFill="1" applyBorder="1" applyAlignment="1">
      <alignment horizontal="center" wrapText="1"/>
    </xf>
    <xf numFmtId="0" fontId="51" fillId="21" borderId="38" xfId="11" applyFont="1" applyFill="1" applyBorder="1" applyAlignment="1">
      <alignment horizontal="center" wrapText="1"/>
    </xf>
    <xf numFmtId="0" fontId="45" fillId="20" borderId="0" xfId="11" applyFont="1" applyFill="1" applyAlignment="1">
      <alignment horizontal="left" wrapText="1"/>
    </xf>
    <xf numFmtId="0" fontId="50" fillId="20" borderId="45" xfId="11" applyFont="1" applyFill="1" applyBorder="1" applyAlignment="1">
      <alignment horizontal="center" wrapText="1"/>
    </xf>
    <xf numFmtId="0" fontId="50" fillId="20" borderId="43" xfId="11" applyFont="1" applyFill="1" applyBorder="1" applyAlignment="1">
      <alignment horizontal="center" wrapText="1"/>
    </xf>
    <xf numFmtId="0" fontId="49" fillId="3" borderId="48" xfId="11" applyFont="1" applyFill="1" applyBorder="1" applyAlignment="1">
      <alignment horizontal="center" wrapText="1"/>
    </xf>
    <xf numFmtId="0" fontId="49" fillId="3" borderId="46" xfId="11" applyFont="1" applyFill="1" applyBorder="1" applyAlignment="1">
      <alignment horizontal="center" wrapText="1"/>
    </xf>
    <xf numFmtId="0" fontId="49" fillId="3" borderId="47" xfId="11" applyFont="1" applyFill="1" applyBorder="1" applyAlignment="1">
      <alignment horizontal="center" wrapText="1"/>
    </xf>
    <xf numFmtId="0" fontId="49" fillId="23" borderId="48" xfId="11" applyFont="1" applyFill="1" applyBorder="1" applyAlignment="1">
      <alignment horizontal="center" wrapText="1"/>
    </xf>
    <xf numFmtId="0" fontId="49" fillId="23" borderId="47" xfId="11" applyFont="1" applyFill="1" applyBorder="1" applyAlignment="1">
      <alignment horizontal="center" wrapText="1"/>
    </xf>
    <xf numFmtId="0" fontId="50" fillId="20" borderId="30" xfId="11" applyFont="1" applyFill="1" applyBorder="1" applyAlignment="1">
      <alignment wrapText="1"/>
    </xf>
    <xf numFmtId="184" fontId="49" fillId="21" borderId="34" xfId="11" applyNumberFormat="1" applyFont="1" applyFill="1" applyBorder="1" applyAlignment="1">
      <alignment horizontal="center" wrapText="1"/>
    </xf>
    <xf numFmtId="0" fontId="49" fillId="21" borderId="32" xfId="11" applyFont="1" applyFill="1" applyBorder="1" applyAlignment="1">
      <alignment horizontal="center" wrapText="1"/>
    </xf>
    <xf numFmtId="184" fontId="49" fillId="21" borderId="40" xfId="11" applyNumberFormat="1" applyFont="1" applyFill="1" applyBorder="1" applyAlignment="1">
      <alignment horizontal="center" wrapText="1"/>
    </xf>
    <xf numFmtId="0" fontId="49" fillId="21" borderId="38" xfId="11" applyFont="1" applyFill="1" applyBorder="1" applyAlignment="1">
      <alignment horizontal="center" wrapText="1"/>
    </xf>
    <xf numFmtId="184" fontId="51" fillId="21" borderId="37" xfId="11" applyNumberFormat="1" applyFont="1" applyFill="1" applyBorder="1" applyAlignment="1">
      <alignment horizontal="center" wrapText="1"/>
    </xf>
    <xf numFmtId="0" fontId="51" fillId="21" borderId="35" xfId="11" applyFont="1" applyFill="1" applyBorder="1" applyAlignment="1">
      <alignment horizontal="center" wrapText="1"/>
    </xf>
    <xf numFmtId="0" fontId="50" fillId="20" borderId="31" xfId="11" applyFont="1" applyFill="1" applyBorder="1" applyAlignment="1">
      <alignment wrapText="1"/>
    </xf>
    <xf numFmtId="185" fontId="49" fillId="21" borderId="40" xfId="11" applyNumberFormat="1" applyFont="1" applyFill="1" applyBorder="1" applyAlignment="1">
      <alignment horizontal="center" wrapText="1"/>
    </xf>
    <xf numFmtId="185" fontId="51" fillId="21" borderId="40" xfId="11" applyNumberFormat="1" applyFont="1" applyFill="1" applyBorder="1" applyAlignment="1">
      <alignment horizontal="center" wrapText="1"/>
    </xf>
    <xf numFmtId="178" fontId="51" fillId="21" borderId="40" xfId="11" applyNumberFormat="1" applyFont="1" applyFill="1" applyBorder="1" applyAlignment="1">
      <alignment horizontal="center" wrapText="1"/>
    </xf>
    <xf numFmtId="185" fontId="51" fillId="21" borderId="37" xfId="11" applyNumberFormat="1" applyFont="1" applyFill="1" applyBorder="1" applyAlignment="1">
      <alignment horizontal="center" wrapText="1"/>
    </xf>
    <xf numFmtId="0" fontId="48" fillId="20" borderId="30" xfId="11" applyFont="1" applyFill="1" applyBorder="1" applyAlignment="1">
      <alignment horizontal="center" vertical="center" wrapText="1"/>
    </xf>
    <xf numFmtId="0" fontId="50" fillId="20" borderId="33" xfId="11" applyFont="1" applyFill="1" applyBorder="1" applyAlignment="1">
      <alignment horizontal="center" vertical="center" wrapText="1"/>
    </xf>
    <xf numFmtId="0" fontId="50" fillId="20" borderId="36" xfId="11" applyFont="1" applyFill="1" applyBorder="1" applyAlignment="1">
      <alignment horizontal="center" vertical="center" wrapText="1"/>
    </xf>
    <xf numFmtId="0" fontId="50" fillId="6" borderId="34" xfId="11" applyFont="1" applyFill="1" applyBorder="1" applyAlignment="1">
      <alignment horizontal="center" vertical="center" wrapText="1"/>
    </xf>
    <xf numFmtId="0" fontId="50" fillId="6" borderId="31" xfId="11" applyFont="1" applyFill="1" applyBorder="1" applyAlignment="1">
      <alignment horizontal="center" vertical="center" wrapText="1"/>
    </xf>
    <xf numFmtId="0" fontId="50" fillId="6" borderId="32" xfId="11" applyFont="1" applyFill="1" applyBorder="1" applyAlignment="1">
      <alignment horizontal="center" vertical="center" wrapText="1"/>
    </xf>
    <xf numFmtId="0" fontId="49" fillId="23" borderId="34" xfId="11" applyFont="1" applyFill="1" applyBorder="1" applyAlignment="1">
      <alignment horizontal="center" vertical="center" wrapText="1"/>
    </xf>
    <xf numFmtId="0" fontId="49" fillId="23" borderId="32" xfId="11" applyFont="1" applyFill="1" applyBorder="1" applyAlignment="1">
      <alignment horizontal="center" vertical="center" wrapText="1"/>
    </xf>
    <xf numFmtId="178" fontId="51" fillId="9" borderId="40" xfId="11" applyNumberFormat="1" applyFont="1" applyFill="1" applyBorder="1" applyAlignment="1">
      <alignment horizontal="center" wrapText="1"/>
    </xf>
    <xf numFmtId="0" fontId="51" fillId="9" borderId="38" xfId="11" applyFont="1" applyFill="1" applyBorder="1" applyAlignment="1">
      <alignment horizontal="center" wrapText="1"/>
    </xf>
    <xf numFmtId="178" fontId="49" fillId="9" borderId="34" xfId="11" applyNumberFormat="1" applyFont="1" applyFill="1" applyBorder="1" applyAlignment="1">
      <alignment horizontal="center" wrapText="1"/>
    </xf>
    <xf numFmtId="0" fontId="49" fillId="9" borderId="32" xfId="11" applyFont="1" applyFill="1" applyBorder="1" applyAlignment="1">
      <alignment horizontal="center" wrapText="1"/>
    </xf>
    <xf numFmtId="178" fontId="51" fillId="9" borderId="37" xfId="11" applyNumberFormat="1" applyFont="1" applyFill="1" applyBorder="1" applyAlignment="1">
      <alignment horizontal="center" wrapText="1"/>
    </xf>
    <xf numFmtId="0" fontId="51" fillId="9" borderId="35" xfId="11" applyFont="1" applyFill="1" applyBorder="1" applyAlignment="1">
      <alignment horizontal="center" wrapText="1"/>
    </xf>
    <xf numFmtId="178" fontId="49" fillId="9" borderId="40" xfId="11" applyNumberFormat="1" applyFont="1" applyFill="1" applyBorder="1" applyAlignment="1">
      <alignment horizontal="center" wrapText="1"/>
    </xf>
    <xf numFmtId="0" fontId="49" fillId="9" borderId="38" xfId="11" applyFont="1" applyFill="1" applyBorder="1" applyAlignment="1">
      <alignment horizontal="center" wrapText="1"/>
    </xf>
    <xf numFmtId="0" fontId="51" fillId="9" borderId="0" xfId="11" applyFont="1" applyFill="1" applyAlignment="1">
      <alignment horizontal="center" wrapText="1"/>
    </xf>
    <xf numFmtId="0" fontId="50" fillId="20" borderId="29" xfId="11" applyFont="1" applyFill="1" applyBorder="1" applyAlignment="1">
      <alignment wrapText="1"/>
    </xf>
    <xf numFmtId="0" fontId="49" fillId="9" borderId="31" xfId="11" applyFont="1" applyFill="1" applyBorder="1" applyAlignment="1">
      <alignment horizontal="center" wrapText="1"/>
    </xf>
    <xf numFmtId="0" fontId="49" fillId="9" borderId="0" xfId="11" applyFont="1" applyFill="1" applyAlignment="1">
      <alignment horizontal="center" wrapText="1"/>
    </xf>
    <xf numFmtId="0" fontId="51" fillId="9" borderId="29" xfId="11" applyFont="1" applyFill="1" applyBorder="1" applyAlignment="1">
      <alignment horizontal="center" wrapText="1"/>
    </xf>
    <xf numFmtId="0" fontId="9" fillId="6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22" fillId="16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2" fillId="16" borderId="14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27" fillId="6" borderId="0" xfId="0" applyFont="1" applyFill="1" applyAlignment="1">
      <alignment horizontal="left"/>
    </xf>
    <xf numFmtId="169" fontId="13" fillId="19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5" fillId="12" borderId="1" xfId="0" applyFont="1" applyFill="1" applyBorder="1" applyAlignment="1">
      <alignment vertical="center" wrapText="1"/>
    </xf>
    <xf numFmtId="0" fontId="46" fillId="21" borderId="29" xfId="11" applyFont="1" applyFill="1" applyBorder="1" applyAlignment="1">
      <alignment wrapText="1"/>
    </xf>
    <xf numFmtId="0" fontId="35" fillId="14" borderId="1" xfId="0" applyFont="1" applyFill="1" applyBorder="1" applyAlignment="1">
      <alignment vertical="center" wrapText="1"/>
    </xf>
    <xf numFmtId="0" fontId="14" fillId="9" borderId="14" xfId="0" applyFont="1" applyFill="1" applyBorder="1" applyAlignment="1">
      <alignment wrapText="1"/>
    </xf>
  </cellXfs>
  <cellStyles count="68">
    <cellStyle name="_Button" xfId="18" xr:uid="{8625EA8A-9EE0-4391-A169-D8098E96B0A7}"/>
    <cellStyle name="_Button 2" xfId="61" xr:uid="{C341586C-3090-41CB-94E7-19D1A5718842}"/>
    <cellStyle name="_Button 3" xfId="62" xr:uid="{E6B72B73-8304-4E4D-AD1B-355893740012}"/>
    <cellStyle name="_Button 4" xfId="63" xr:uid="{56286779-6611-48EC-9580-D85455954C98}"/>
    <cellStyle name="_Button 5" xfId="64" xr:uid="{38494499-5456-4287-8782-F932E72E69EE}"/>
    <cellStyle name="_Button 6" xfId="65" xr:uid="{3E9448DC-4E44-4FA5-879E-A5347C2396C4}"/>
    <cellStyle name="_Button 7" xfId="66" xr:uid="{1875E8F5-C596-4E5C-A958-665028DEAF75}"/>
    <cellStyle name="_Button 8" xfId="67" xr:uid="{4670CA22-7062-41A6-A32D-8F93AF6D1E12}"/>
    <cellStyle name="Comma" xfId="1" builtinId="3"/>
    <cellStyle name="Comma 100" xfId="19" xr:uid="{098AABE2-98D7-420B-84C3-6D6F26E5F3E2}"/>
    <cellStyle name="Comma 101" xfId="23" xr:uid="{CAD3AE49-F379-4560-9C53-6CA960273E1C}"/>
    <cellStyle name="Comma 102" xfId="28" xr:uid="{88E1E48F-2574-4194-B919-01498326527C}"/>
    <cellStyle name="Comma 11 4" xfId="21" xr:uid="{45955B7F-E99A-45DC-ADB6-C1516BF89725}"/>
    <cellStyle name="Comma 141" xfId="20" xr:uid="{02246485-14F8-4B68-A927-5C7C403626D1}"/>
    <cellStyle name="Comma 142" xfId="29" xr:uid="{D65FCD79-DECD-4A5C-A08B-F486BE7D1056}"/>
    <cellStyle name="Comma 143" xfId="31" xr:uid="{EEA8528E-6B87-4B07-8834-49418D9DB968}"/>
    <cellStyle name="Comma 144" xfId="32" xr:uid="{DCB7B8C5-94D2-4E12-9045-B29794F5020C}"/>
    <cellStyle name="Comma 145" xfId="37" xr:uid="{0383E683-57DC-4B8D-B0AF-DB11CE09774A}"/>
    <cellStyle name="Comma 146" xfId="36" xr:uid="{0F5F5062-0C68-4422-8F3F-56180F0D189D}"/>
    <cellStyle name="Comma 147" xfId="39" xr:uid="{FFB973AA-3F94-43B2-A793-7C6AFDB7240D}"/>
    <cellStyle name="Comma 149" xfId="38" xr:uid="{BBCFAC35-8A2F-48DA-83DA-DEC04DA9843A}"/>
    <cellStyle name="Comma 150" xfId="34" xr:uid="{34E8C827-290A-4E94-B7FB-45E0A9F585FA}"/>
    <cellStyle name="Comma 151" xfId="33" xr:uid="{DBE4377C-CBCA-46FA-8AAB-144F62D0765B}"/>
    <cellStyle name="Comma 153" xfId="30" xr:uid="{F0D7AA90-0F4F-4BF4-B873-674202A46F1C}"/>
    <cellStyle name="Comma 154" xfId="35" xr:uid="{1EF2F5CF-6742-4BC1-8C5E-F056F328B23D}"/>
    <cellStyle name="Comma 16" xfId="59" xr:uid="{7785290D-225F-4E27-9806-48C478F54BA9}"/>
    <cellStyle name="Comma 2" xfId="7" xr:uid="{00000000-0005-0000-0000-000001000000}"/>
    <cellStyle name="Comma 3" xfId="16" xr:uid="{6606A8C7-41FB-4C88-BD85-E13960BB4783}"/>
    <cellStyle name="Comma 53" xfId="9" xr:uid="{00000000-0005-0000-0000-000002000000}"/>
    <cellStyle name="Comma 53 5" xfId="10" xr:uid="{00000000-0005-0000-0000-000003000000}"/>
    <cellStyle name="Comma 73" xfId="53" xr:uid="{1D60BFE1-958D-4914-B8B4-12FE92CC4325}"/>
    <cellStyle name="Comma 74" xfId="52" xr:uid="{13DDFC53-306A-4E4D-A374-1E0A53A84A9B}"/>
    <cellStyle name="Comma 75" xfId="54" xr:uid="{118D9C43-5687-4544-A7D3-FD70FB6A38EA}"/>
    <cellStyle name="Comma 76" xfId="55" xr:uid="{FC08408D-A145-4721-B3A5-5748C7D0FFD9}"/>
    <cellStyle name="Comma 77" xfId="56" xr:uid="{0E4F3B48-6030-4EFE-AA2E-5A96FC476361}"/>
    <cellStyle name="Comma 78" xfId="57" xr:uid="{CAA13667-2E28-4066-BB47-AA87ED3763F9}"/>
    <cellStyle name="Comma 79" xfId="48" xr:uid="{DCEFA67A-6DDC-4D5D-BEDF-52BE892E821B}"/>
    <cellStyle name="Comma 80" xfId="51" xr:uid="{E8B00CE2-6ED6-410D-882C-5131FEAC50D1}"/>
    <cellStyle name="Comma 81" xfId="50" xr:uid="{A38A92EB-A975-4042-9EB6-800200796EF6}"/>
    <cellStyle name="Comma 82" xfId="49" xr:uid="{FF26B0EE-DDF1-4F82-9D76-20960F769220}"/>
    <cellStyle name="Comma 83" xfId="45" xr:uid="{F37B0E36-1B62-477D-B69D-B1C97D59C281}"/>
    <cellStyle name="Comma 84" xfId="44" xr:uid="{847585D5-BF28-4D33-9C94-20B4CC1CC4D9}"/>
    <cellStyle name="Comma 85" xfId="47" xr:uid="{F9B5BA38-F8B0-41A0-AB76-9B1FFA21C06E}"/>
    <cellStyle name="Comma 86" xfId="46" xr:uid="{75672BF4-EE0F-418F-B978-FE3839A5632D}"/>
    <cellStyle name="Comma 87" xfId="41" xr:uid="{71B92728-BCEF-4DC8-BD1E-85C14FF7DB73}"/>
    <cellStyle name="Comma 88" xfId="40" xr:uid="{2B9BE561-BBEB-4CF9-982D-74FB990891EE}"/>
    <cellStyle name="Comma 89" xfId="42" xr:uid="{22E4E91D-CD2B-48F2-8E29-AF665B4D0813}"/>
    <cellStyle name="Comma 90" xfId="43" xr:uid="{73AC1822-6972-4AF3-A735-3939ACF4CA57}"/>
    <cellStyle name="Comma 95" xfId="25" xr:uid="{92306C09-6B87-41B7-A92D-F043CA9DF9AF}"/>
    <cellStyle name="Comma 96" xfId="26" xr:uid="{66678286-E142-4723-A2F5-4CBFDF4A60A7}"/>
    <cellStyle name="Comma 97" xfId="24" xr:uid="{52430B24-83AC-4CD9-A5D8-5CA81E46B440}"/>
    <cellStyle name="Comma 98" xfId="27" xr:uid="{87DE2E64-802C-4249-87DE-83FD0DE53150}"/>
    <cellStyle name="Comma 99" xfId="22" xr:uid="{717B2C4A-CA2B-453F-8EDE-26DDEA443BEA}"/>
    <cellStyle name="Normal" xfId="0" builtinId="0"/>
    <cellStyle name="Normal 17" xfId="60" xr:uid="{366411C3-C2CC-4474-81CC-AE73DE0ED89B}"/>
    <cellStyle name="Normal 18" xfId="58" xr:uid="{1D7627BE-9A44-48BD-A4C8-927A37103FF0}"/>
    <cellStyle name="Normal 2" xfId="5" xr:uid="{00000000-0005-0000-0000-000005000000}"/>
    <cellStyle name="Normal 29" xfId="4" xr:uid="{00000000-0005-0000-0000-000006000000}"/>
    <cellStyle name="Normal 3" xfId="11" xr:uid="{AC08290C-4F5F-42D8-BB72-68EA62230344}"/>
    <cellStyle name="Normal 4" xfId="13" xr:uid="{150E2635-7A36-40B2-92EF-E0C92818E61C}"/>
    <cellStyle name="Normal 5" xfId="15" xr:uid="{7EBD5750-CF1A-4795-8344-E46D10B4CD07}"/>
    <cellStyle name="Normal 53" xfId="2" xr:uid="{00000000-0005-0000-0000-000007000000}"/>
    <cellStyle name="Percent" xfId="3" builtinId="5"/>
    <cellStyle name="Percent 2" xfId="6" xr:uid="{00000000-0005-0000-0000-000009000000}"/>
    <cellStyle name="Percent 3" xfId="8" xr:uid="{00000000-0005-0000-0000-00000A000000}"/>
    <cellStyle name="Percent 4" xfId="17" xr:uid="{43002F6D-17C7-472C-9224-020C0F4A75ED}"/>
    <cellStyle name="Table (Normal)" xfId="12" xr:uid="{E26DA8B4-29A8-4FAA-A87E-03D40CB4A87E}"/>
    <cellStyle name="Table (Normal) 2" xfId="14" xr:uid="{5CAAA4DB-03B9-4C7D-B129-AA8FF29FAE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123825</xdr:colOff>
      <xdr:row>132</xdr:row>
      <xdr:rowOff>114300</xdr:rowOff>
    </xdr:from>
    <xdr:to>
      <xdr:col>47</xdr:col>
      <xdr:colOff>123825</xdr:colOff>
      <xdr:row>136</xdr:row>
      <xdr:rowOff>88900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2032575" y="25355550"/>
          <a:ext cx="0" cy="746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ileen Coetzee" id="{2D01124D-69E3-4D89-A6C5-2A64E6E181DC}" userId="S::Eileen.Coetzee@sibanyestillwater.com::27751043-6a20-40b0-81e0-fc5fdab56921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H47" dT="2026-04-30T10:26:05.21" personId="{2D01124D-69E3-4D89-A6C5-2A64E6E181DC}" id="{19970D47-8F81-49C4-A2FE-4E19BCE9F1F9}">
    <text>Adjusted to include the S45X credit for mining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374C-5FA0-4160-8FBD-BC82A90838B4}">
  <sheetPr>
    <tabColor theme="2" tint="-0.249977111117893"/>
  </sheetPr>
  <dimension ref="A1:AE66"/>
  <sheetViews>
    <sheetView showRuler="0" topLeftCell="A16" workbookViewId="0">
      <selection activeCell="D47" sqref="D47"/>
    </sheetView>
  </sheetViews>
  <sheetFormatPr defaultColWidth="13.7109375" defaultRowHeight="12.75" x14ac:dyDescent="0.2"/>
  <cols>
    <col min="1" max="1" width="21.28515625" style="824" customWidth="1"/>
    <col min="2" max="2" width="5.5703125" style="824" customWidth="1"/>
    <col min="3" max="3" width="7.7109375" style="824" customWidth="1"/>
    <col min="4" max="14" width="8.7109375" style="824" customWidth="1"/>
    <col min="15" max="31" width="13.7109375" style="716"/>
    <col min="32" max="16384" width="13.7109375" style="824"/>
  </cols>
  <sheetData>
    <row r="1" spans="1:14" ht="15" customHeight="1" x14ac:dyDescent="0.25">
      <c r="A1" s="928" t="s">
        <v>318</v>
      </c>
      <c r="B1" s="928"/>
      <c r="C1" s="928"/>
      <c r="D1" s="928"/>
      <c r="E1" s="928"/>
      <c r="F1" s="928"/>
      <c r="G1" s="928"/>
      <c r="H1" s="928"/>
      <c r="I1" s="928"/>
      <c r="J1" s="928"/>
      <c r="K1" s="928"/>
      <c r="L1" s="928"/>
      <c r="M1" s="928"/>
      <c r="N1" s="928"/>
    </row>
    <row r="2" spans="1:14" ht="15" customHeight="1" thickBot="1" x14ac:dyDescent="0.35">
      <c r="A2" s="825" t="s">
        <v>319</v>
      </c>
      <c r="B2" s="825"/>
      <c r="C2" s="825"/>
      <c r="D2" s="825"/>
      <c r="E2" s="825"/>
      <c r="F2" s="825"/>
      <c r="G2" s="825"/>
      <c r="H2" s="825"/>
      <c r="I2" s="825"/>
      <c r="J2" s="825"/>
      <c r="K2" s="825"/>
      <c r="L2" s="825"/>
      <c r="M2" s="825"/>
      <c r="N2" s="825"/>
    </row>
    <row r="3" spans="1:14" ht="15.75" customHeight="1" thickBot="1" x14ac:dyDescent="0.25">
      <c r="A3" s="826"/>
      <c r="B3" s="827"/>
      <c r="C3" s="828"/>
      <c r="D3" s="929"/>
      <c r="E3" s="930"/>
      <c r="F3" s="930"/>
      <c r="G3" s="930"/>
      <c r="H3" s="930"/>
      <c r="I3" s="930"/>
      <c r="J3" s="930"/>
      <c r="K3" s="930"/>
      <c r="L3" s="930"/>
      <c r="M3" s="930"/>
      <c r="N3" s="930"/>
    </row>
    <row r="4" spans="1:14" ht="12.6" customHeight="1" x14ac:dyDescent="0.2">
      <c r="A4" s="829"/>
      <c r="B4" s="829"/>
      <c r="C4" s="830"/>
      <c r="D4" s="931" t="s">
        <v>320</v>
      </c>
      <c r="E4" s="932"/>
      <c r="F4" s="933"/>
      <c r="G4" s="934" t="s">
        <v>49</v>
      </c>
      <c r="H4" s="935"/>
      <c r="I4" s="934" t="s">
        <v>84</v>
      </c>
      <c r="J4" s="935"/>
      <c r="K4" s="934" t="s">
        <v>85</v>
      </c>
      <c r="L4" s="935"/>
      <c r="M4" s="832" t="s">
        <v>86</v>
      </c>
      <c r="N4" s="831" t="s">
        <v>158</v>
      </c>
    </row>
    <row r="5" spans="1:14" ht="19.149999999999999" customHeight="1" x14ac:dyDescent="0.2">
      <c r="A5" s="833"/>
      <c r="B5" s="833"/>
      <c r="C5" s="834"/>
      <c r="D5" s="835" t="s">
        <v>54</v>
      </c>
      <c r="E5" s="836" t="s">
        <v>288</v>
      </c>
      <c r="F5" s="837" t="s">
        <v>53</v>
      </c>
      <c r="G5" s="838" t="s">
        <v>288</v>
      </c>
      <c r="H5" s="839" t="s">
        <v>53</v>
      </c>
      <c r="I5" s="838" t="s">
        <v>288</v>
      </c>
      <c r="J5" s="839" t="s">
        <v>53</v>
      </c>
      <c r="K5" s="838" t="s">
        <v>288</v>
      </c>
      <c r="L5" s="839" t="s">
        <v>53</v>
      </c>
      <c r="M5" s="840" t="s">
        <v>53</v>
      </c>
      <c r="N5" s="838" t="s">
        <v>53</v>
      </c>
    </row>
    <row r="6" spans="1:14" ht="15" customHeight="1" x14ac:dyDescent="0.2">
      <c r="A6" s="936" t="s">
        <v>290</v>
      </c>
      <c r="B6" s="936"/>
      <c r="C6" s="936"/>
      <c r="D6" s="936"/>
      <c r="E6" s="936"/>
      <c r="F6" s="936"/>
      <c r="G6" s="936"/>
      <c r="H6" s="936"/>
      <c r="I6" s="936"/>
      <c r="J6" s="936"/>
      <c r="K6" s="936"/>
      <c r="L6" s="936"/>
      <c r="M6" s="936"/>
      <c r="N6" s="936"/>
    </row>
    <row r="7" spans="1:14" ht="15" customHeight="1" x14ac:dyDescent="0.2">
      <c r="A7" s="841" t="s">
        <v>291</v>
      </c>
      <c r="B7" s="735" t="s">
        <v>292</v>
      </c>
      <c r="C7" s="842" t="s">
        <v>293</v>
      </c>
      <c r="D7" s="843">
        <v>8381</v>
      </c>
      <c r="E7" s="844">
        <v>721</v>
      </c>
      <c r="F7" s="845">
        <v>7660</v>
      </c>
      <c r="G7" s="846">
        <v>271</v>
      </c>
      <c r="H7" s="847">
        <v>62</v>
      </c>
      <c r="I7" s="846">
        <v>150</v>
      </c>
      <c r="J7" s="847">
        <v>172</v>
      </c>
      <c r="K7" s="846">
        <v>300</v>
      </c>
      <c r="L7" s="847">
        <v>0</v>
      </c>
      <c r="M7" s="848">
        <v>1080</v>
      </c>
      <c r="N7" s="846">
        <v>6345</v>
      </c>
    </row>
    <row r="8" spans="1:14" ht="15.75" customHeight="1" x14ac:dyDescent="0.2">
      <c r="A8" s="849"/>
      <c r="B8" s="744"/>
      <c r="C8" s="850" t="s">
        <v>294</v>
      </c>
      <c r="D8" s="851">
        <v>8142</v>
      </c>
      <c r="E8" s="852">
        <v>745</v>
      </c>
      <c r="F8" s="853">
        <v>7397</v>
      </c>
      <c r="G8" s="854">
        <v>235</v>
      </c>
      <c r="H8" s="855">
        <v>0</v>
      </c>
      <c r="I8" s="854">
        <v>175</v>
      </c>
      <c r="J8" s="855">
        <v>150</v>
      </c>
      <c r="K8" s="854">
        <v>335</v>
      </c>
      <c r="L8" s="855">
        <v>2</v>
      </c>
      <c r="M8" s="856">
        <v>976</v>
      </c>
      <c r="N8" s="854">
        <v>6269</v>
      </c>
    </row>
    <row r="9" spans="1:14" ht="15" customHeight="1" x14ac:dyDescent="0.2">
      <c r="A9" s="841" t="s">
        <v>298</v>
      </c>
      <c r="B9" s="735" t="s">
        <v>296</v>
      </c>
      <c r="C9" s="842" t="s">
        <v>293</v>
      </c>
      <c r="D9" s="857">
        <v>0.56999999999999995</v>
      </c>
      <c r="E9" s="858">
        <v>4.25</v>
      </c>
      <c r="F9" s="859">
        <v>0.23</v>
      </c>
      <c r="G9" s="860">
        <v>6.5</v>
      </c>
      <c r="H9" s="861">
        <v>0.26</v>
      </c>
      <c r="I9" s="860">
        <v>3.87</v>
      </c>
      <c r="J9" s="861">
        <v>0.64</v>
      </c>
      <c r="K9" s="860">
        <v>2.42</v>
      </c>
      <c r="L9" s="861">
        <v>0</v>
      </c>
      <c r="M9" s="862">
        <v>0.3</v>
      </c>
      <c r="N9" s="860">
        <v>0.2</v>
      </c>
    </row>
    <row r="10" spans="1:14" ht="15" customHeight="1" x14ac:dyDescent="0.2">
      <c r="A10" s="849"/>
      <c r="B10" s="744"/>
      <c r="C10" s="850" t="s">
        <v>294</v>
      </c>
      <c r="D10" s="863">
        <v>0.53</v>
      </c>
      <c r="E10" s="864">
        <v>3.78</v>
      </c>
      <c r="F10" s="865">
        <v>0.21</v>
      </c>
      <c r="G10" s="866">
        <v>5.72</v>
      </c>
      <c r="H10" s="867">
        <v>0</v>
      </c>
      <c r="I10" s="866">
        <v>3.65</v>
      </c>
      <c r="J10" s="867">
        <v>0.59</v>
      </c>
      <c r="K10" s="866">
        <v>2.4900000000000002</v>
      </c>
      <c r="L10" s="867">
        <v>0</v>
      </c>
      <c r="M10" s="868">
        <v>0.21</v>
      </c>
      <c r="N10" s="866">
        <v>0.19</v>
      </c>
    </row>
    <row r="11" spans="1:14" ht="15" customHeight="1" x14ac:dyDescent="0.2">
      <c r="A11" s="841" t="s">
        <v>321</v>
      </c>
      <c r="B11" s="735" t="s">
        <v>322</v>
      </c>
      <c r="C11" s="842" t="s">
        <v>293</v>
      </c>
      <c r="D11" s="843">
        <v>4798</v>
      </c>
      <c r="E11" s="844">
        <v>3066</v>
      </c>
      <c r="F11" s="845">
        <v>1732</v>
      </c>
      <c r="G11" s="846">
        <v>1760</v>
      </c>
      <c r="H11" s="847">
        <v>16</v>
      </c>
      <c r="I11" s="846">
        <v>581</v>
      </c>
      <c r="J11" s="847">
        <v>110</v>
      </c>
      <c r="K11" s="846">
        <v>725</v>
      </c>
      <c r="L11" s="847">
        <v>0</v>
      </c>
      <c r="M11" s="848">
        <v>323</v>
      </c>
      <c r="N11" s="846">
        <v>1283</v>
      </c>
    </row>
    <row r="12" spans="1:14" ht="15" customHeight="1" x14ac:dyDescent="0.2">
      <c r="A12" s="869"/>
      <c r="B12" s="779"/>
      <c r="C12" s="870" t="s">
        <v>294</v>
      </c>
      <c r="D12" s="871">
        <v>4336</v>
      </c>
      <c r="E12" s="872">
        <v>2819</v>
      </c>
      <c r="F12" s="873">
        <v>1517</v>
      </c>
      <c r="G12" s="874">
        <v>1345</v>
      </c>
      <c r="H12" s="875">
        <v>0</v>
      </c>
      <c r="I12" s="874">
        <v>639</v>
      </c>
      <c r="J12" s="876">
        <v>89</v>
      </c>
      <c r="K12" s="874">
        <v>835</v>
      </c>
      <c r="L12" s="876">
        <v>0</v>
      </c>
      <c r="M12" s="877">
        <v>209</v>
      </c>
      <c r="N12" s="874">
        <v>1219</v>
      </c>
    </row>
    <row r="13" spans="1:14" ht="15.75" customHeight="1" x14ac:dyDescent="0.2">
      <c r="A13" s="869"/>
      <c r="B13" s="779" t="s">
        <v>323</v>
      </c>
      <c r="C13" s="878" t="s">
        <v>293</v>
      </c>
      <c r="D13" s="879">
        <v>154259</v>
      </c>
      <c r="E13" s="880">
        <v>98574</v>
      </c>
      <c r="F13" s="881">
        <v>55685</v>
      </c>
      <c r="G13" s="882">
        <v>56585</v>
      </c>
      <c r="H13" s="883">
        <v>514</v>
      </c>
      <c r="I13" s="882">
        <v>18680</v>
      </c>
      <c r="J13" s="883">
        <v>3537</v>
      </c>
      <c r="K13" s="882">
        <v>23309</v>
      </c>
      <c r="L13" s="883">
        <v>0</v>
      </c>
      <c r="M13" s="884">
        <v>10385</v>
      </c>
      <c r="N13" s="882">
        <v>41249</v>
      </c>
    </row>
    <row r="14" spans="1:14" ht="15" customHeight="1" x14ac:dyDescent="0.2">
      <c r="A14" s="849"/>
      <c r="B14" s="744"/>
      <c r="C14" s="850" t="s">
        <v>294</v>
      </c>
      <c r="D14" s="851">
        <v>139406</v>
      </c>
      <c r="E14" s="852">
        <v>90633</v>
      </c>
      <c r="F14" s="853">
        <v>48773</v>
      </c>
      <c r="G14" s="854">
        <v>43243</v>
      </c>
      <c r="H14" s="855">
        <v>0</v>
      </c>
      <c r="I14" s="854">
        <v>20544</v>
      </c>
      <c r="J14" s="855">
        <v>2861</v>
      </c>
      <c r="K14" s="854">
        <v>26846</v>
      </c>
      <c r="L14" s="855">
        <v>0</v>
      </c>
      <c r="M14" s="856">
        <v>6720</v>
      </c>
      <c r="N14" s="854">
        <v>39192</v>
      </c>
    </row>
    <row r="15" spans="1:14" ht="15" customHeight="1" x14ac:dyDescent="0.2">
      <c r="A15" s="841" t="s">
        <v>324</v>
      </c>
      <c r="B15" s="735" t="s">
        <v>322</v>
      </c>
      <c r="C15" s="842" t="s">
        <v>293</v>
      </c>
      <c r="D15" s="885">
        <v>4936</v>
      </c>
      <c r="E15" s="886">
        <v>3171</v>
      </c>
      <c r="F15" s="887">
        <v>1765</v>
      </c>
      <c r="G15" s="888">
        <v>1725</v>
      </c>
      <c r="H15" s="847">
        <v>10</v>
      </c>
      <c r="I15" s="888">
        <v>627</v>
      </c>
      <c r="J15" s="889">
        <v>145</v>
      </c>
      <c r="K15" s="888">
        <v>819</v>
      </c>
      <c r="L15" s="889">
        <v>0</v>
      </c>
      <c r="M15" s="890">
        <v>288</v>
      </c>
      <c r="N15" s="888">
        <v>1322</v>
      </c>
    </row>
    <row r="16" spans="1:14" ht="15" customHeight="1" x14ac:dyDescent="0.2">
      <c r="A16" s="869"/>
      <c r="B16" s="779"/>
      <c r="C16" s="870" t="s">
        <v>294</v>
      </c>
      <c r="D16" s="871">
        <v>4652</v>
      </c>
      <c r="E16" s="872">
        <v>3178</v>
      </c>
      <c r="F16" s="873">
        <v>1474</v>
      </c>
      <c r="G16" s="874">
        <v>1598</v>
      </c>
      <c r="H16" s="875">
        <v>0</v>
      </c>
      <c r="I16" s="874">
        <v>663</v>
      </c>
      <c r="J16" s="876">
        <v>99</v>
      </c>
      <c r="K16" s="874">
        <v>917</v>
      </c>
      <c r="L16" s="876">
        <v>0</v>
      </c>
      <c r="M16" s="877">
        <v>220</v>
      </c>
      <c r="N16" s="874">
        <v>1155</v>
      </c>
    </row>
    <row r="17" spans="1:14" ht="15" customHeight="1" x14ac:dyDescent="0.2">
      <c r="A17" s="869"/>
      <c r="B17" s="779" t="s">
        <v>323</v>
      </c>
      <c r="C17" s="878" t="s">
        <v>293</v>
      </c>
      <c r="D17" s="879">
        <v>158696</v>
      </c>
      <c r="E17" s="880">
        <v>101950</v>
      </c>
      <c r="F17" s="881">
        <v>56746</v>
      </c>
      <c r="G17" s="882">
        <v>55460</v>
      </c>
      <c r="H17" s="883">
        <v>322</v>
      </c>
      <c r="I17" s="882">
        <v>20159</v>
      </c>
      <c r="J17" s="883">
        <v>4662</v>
      </c>
      <c r="K17" s="882">
        <v>26331</v>
      </c>
      <c r="L17" s="883">
        <v>0</v>
      </c>
      <c r="M17" s="884">
        <v>9259</v>
      </c>
      <c r="N17" s="882">
        <v>42503</v>
      </c>
    </row>
    <row r="18" spans="1:14" ht="15" customHeight="1" x14ac:dyDescent="0.2">
      <c r="A18" s="849"/>
      <c r="B18" s="744"/>
      <c r="C18" s="850" t="s">
        <v>294</v>
      </c>
      <c r="D18" s="851">
        <v>149565</v>
      </c>
      <c r="E18" s="852">
        <v>102175</v>
      </c>
      <c r="F18" s="853">
        <v>47390</v>
      </c>
      <c r="G18" s="854">
        <v>51377</v>
      </c>
      <c r="H18" s="855">
        <v>0</v>
      </c>
      <c r="I18" s="854">
        <v>21316</v>
      </c>
      <c r="J18" s="855">
        <v>3183</v>
      </c>
      <c r="K18" s="854">
        <v>29482</v>
      </c>
      <c r="L18" s="855">
        <v>0</v>
      </c>
      <c r="M18" s="856">
        <v>7073</v>
      </c>
      <c r="N18" s="854">
        <v>37134</v>
      </c>
    </row>
    <row r="19" spans="1:14" ht="15" customHeight="1" x14ac:dyDescent="0.2">
      <c r="A19" s="936" t="s">
        <v>325</v>
      </c>
      <c r="B19" s="936"/>
      <c r="C19" s="936"/>
      <c r="D19" s="936"/>
      <c r="E19" s="936"/>
      <c r="F19" s="936"/>
      <c r="G19" s="936"/>
      <c r="H19" s="936"/>
      <c r="I19" s="936"/>
      <c r="J19" s="936"/>
      <c r="K19" s="936"/>
      <c r="L19" s="936"/>
      <c r="M19" s="936"/>
      <c r="N19" s="936"/>
    </row>
    <row r="20" spans="1:14" ht="15.75" customHeight="1" x14ac:dyDescent="0.2">
      <c r="A20" s="841" t="s">
        <v>326</v>
      </c>
      <c r="B20" s="735" t="s">
        <v>327</v>
      </c>
      <c r="C20" s="842" t="s">
        <v>293</v>
      </c>
      <c r="D20" s="843">
        <v>2352512</v>
      </c>
      <c r="E20" s="891"/>
      <c r="F20" s="892"/>
      <c r="G20" s="937">
        <v>2355043</v>
      </c>
      <c r="H20" s="938"/>
      <c r="I20" s="937">
        <v>2283679</v>
      </c>
      <c r="J20" s="938"/>
      <c r="K20" s="937">
        <v>2366300</v>
      </c>
      <c r="L20" s="938"/>
      <c r="M20" s="893">
        <v>2368056</v>
      </c>
      <c r="N20" s="846">
        <v>2377458</v>
      </c>
    </row>
    <row r="21" spans="1:14" ht="15" customHeight="1" x14ac:dyDescent="0.2">
      <c r="A21" s="869"/>
      <c r="B21" s="779"/>
      <c r="C21" s="870" t="s">
        <v>294</v>
      </c>
      <c r="D21" s="894">
        <v>2502794</v>
      </c>
      <c r="E21" s="895"/>
      <c r="F21" s="896"/>
      <c r="G21" s="926">
        <v>2487484</v>
      </c>
      <c r="H21" s="927"/>
      <c r="I21" s="926">
        <v>2427822</v>
      </c>
      <c r="J21" s="927"/>
      <c r="K21" s="926">
        <v>2508179</v>
      </c>
      <c r="L21" s="927"/>
      <c r="M21" s="897">
        <v>2522727</v>
      </c>
      <c r="N21" s="898">
        <v>2565368</v>
      </c>
    </row>
    <row r="22" spans="1:14" ht="15" customHeight="1" x14ac:dyDescent="0.2">
      <c r="A22" s="899"/>
      <c r="B22" s="779" t="s">
        <v>328</v>
      </c>
      <c r="C22" s="878" t="s">
        <v>293</v>
      </c>
      <c r="D22" s="879">
        <v>4440</v>
      </c>
      <c r="E22" s="900"/>
      <c r="F22" s="901"/>
      <c r="G22" s="939">
        <v>4445</v>
      </c>
      <c r="H22" s="940"/>
      <c r="I22" s="939">
        <v>4310</v>
      </c>
      <c r="J22" s="940"/>
      <c r="K22" s="939">
        <v>4466</v>
      </c>
      <c r="L22" s="940"/>
      <c r="M22" s="902">
        <v>4469</v>
      </c>
      <c r="N22" s="882">
        <v>4487</v>
      </c>
    </row>
    <row r="23" spans="1:14" ht="15" customHeight="1" x14ac:dyDescent="0.2">
      <c r="A23" s="849"/>
      <c r="B23" s="744"/>
      <c r="C23" s="850" t="s">
        <v>294</v>
      </c>
      <c r="D23" s="851">
        <v>4764</v>
      </c>
      <c r="E23" s="903"/>
      <c r="F23" s="904"/>
      <c r="G23" s="941">
        <v>4735</v>
      </c>
      <c r="H23" s="942"/>
      <c r="I23" s="941">
        <v>4621</v>
      </c>
      <c r="J23" s="942"/>
      <c r="K23" s="941">
        <v>4774</v>
      </c>
      <c r="L23" s="942"/>
      <c r="M23" s="905">
        <v>4802</v>
      </c>
      <c r="N23" s="854">
        <v>4883</v>
      </c>
    </row>
    <row r="24" spans="1:14" ht="15" customHeight="1" x14ac:dyDescent="0.2">
      <c r="A24" s="841" t="s">
        <v>305</v>
      </c>
      <c r="B24" s="735" t="s">
        <v>306</v>
      </c>
      <c r="C24" s="842" t="s">
        <v>293</v>
      </c>
      <c r="D24" s="885">
        <v>803</v>
      </c>
      <c r="E24" s="886">
        <v>6464</v>
      </c>
      <c r="F24" s="887">
        <v>270</v>
      </c>
      <c r="G24" s="888">
        <v>7198</v>
      </c>
      <c r="H24" s="847">
        <v>1345</v>
      </c>
      <c r="I24" s="888">
        <v>9914</v>
      </c>
      <c r="J24" s="889">
        <v>1040</v>
      </c>
      <c r="K24" s="888">
        <v>4072</v>
      </c>
      <c r="L24" s="889">
        <v>0</v>
      </c>
      <c r="M24" s="890">
        <v>488</v>
      </c>
      <c r="N24" s="888">
        <v>201</v>
      </c>
    </row>
    <row r="25" spans="1:14" ht="15" customHeight="1" x14ac:dyDescent="0.2">
      <c r="A25" s="869"/>
      <c r="B25" s="779"/>
      <c r="C25" s="870" t="s">
        <v>294</v>
      </c>
      <c r="D25" s="871">
        <v>780</v>
      </c>
      <c r="E25" s="872">
        <v>5998</v>
      </c>
      <c r="F25" s="873">
        <v>254</v>
      </c>
      <c r="G25" s="874">
        <v>7673</v>
      </c>
      <c r="H25" s="875">
        <v>0</v>
      </c>
      <c r="I25" s="874">
        <v>8325</v>
      </c>
      <c r="J25" s="876">
        <v>938</v>
      </c>
      <c r="K25" s="874">
        <v>3605</v>
      </c>
      <c r="L25" s="876">
        <v>0</v>
      </c>
      <c r="M25" s="877">
        <v>518</v>
      </c>
      <c r="N25" s="874">
        <v>197</v>
      </c>
    </row>
    <row r="26" spans="1:14" ht="15" customHeight="1" x14ac:dyDescent="0.2">
      <c r="A26" s="869"/>
      <c r="B26" s="779" t="s">
        <v>307</v>
      </c>
      <c r="C26" s="878" t="s">
        <v>293</v>
      </c>
      <c r="D26" s="879">
        <v>49</v>
      </c>
      <c r="E26" s="880">
        <v>392</v>
      </c>
      <c r="F26" s="881">
        <v>16</v>
      </c>
      <c r="G26" s="882">
        <v>437</v>
      </c>
      <c r="H26" s="883">
        <v>82</v>
      </c>
      <c r="I26" s="882">
        <v>602</v>
      </c>
      <c r="J26" s="883">
        <v>63</v>
      </c>
      <c r="K26" s="882">
        <v>247</v>
      </c>
      <c r="L26" s="883">
        <v>0</v>
      </c>
      <c r="M26" s="884">
        <v>30</v>
      </c>
      <c r="N26" s="882">
        <v>12</v>
      </c>
    </row>
    <row r="27" spans="1:14" ht="15" customHeight="1" x14ac:dyDescent="0.2">
      <c r="A27" s="869"/>
      <c r="B27" s="779"/>
      <c r="C27" s="870" t="s">
        <v>294</v>
      </c>
      <c r="D27" s="894">
        <v>48</v>
      </c>
      <c r="E27" s="906">
        <v>367</v>
      </c>
      <c r="F27" s="907">
        <v>16</v>
      </c>
      <c r="G27" s="898">
        <v>470</v>
      </c>
      <c r="H27" s="875">
        <v>0</v>
      </c>
      <c r="I27" s="898">
        <v>509</v>
      </c>
      <c r="J27" s="875">
        <v>57</v>
      </c>
      <c r="K27" s="898">
        <v>221</v>
      </c>
      <c r="L27" s="875">
        <v>0</v>
      </c>
      <c r="M27" s="908">
        <v>32</v>
      </c>
      <c r="N27" s="898">
        <v>12</v>
      </c>
    </row>
    <row r="28" spans="1:14" ht="15" customHeight="1" x14ac:dyDescent="0.2">
      <c r="A28" s="869"/>
      <c r="B28" s="779" t="s">
        <v>327</v>
      </c>
      <c r="C28" s="878" t="s">
        <v>293</v>
      </c>
      <c r="D28" s="909">
        <v>1402251</v>
      </c>
      <c r="E28" s="910">
        <v>1519896</v>
      </c>
      <c r="F28" s="911">
        <v>1193995</v>
      </c>
      <c r="G28" s="912">
        <v>1107386</v>
      </c>
      <c r="H28" s="883">
        <v>5250000</v>
      </c>
      <c r="I28" s="912">
        <v>2564544</v>
      </c>
      <c r="J28" s="913">
        <v>1627273</v>
      </c>
      <c r="K28" s="912">
        <v>1684138</v>
      </c>
      <c r="L28" s="913">
        <v>0</v>
      </c>
      <c r="M28" s="914">
        <v>1631579</v>
      </c>
      <c r="N28" s="915">
        <v>996103</v>
      </c>
    </row>
    <row r="29" spans="1:14" ht="15" customHeight="1" x14ac:dyDescent="0.2">
      <c r="A29" s="869"/>
      <c r="B29" s="779"/>
      <c r="C29" s="870" t="s">
        <v>294</v>
      </c>
      <c r="D29" s="894">
        <v>1464714</v>
      </c>
      <c r="E29" s="906">
        <v>1585314</v>
      </c>
      <c r="F29" s="907">
        <v>1240606</v>
      </c>
      <c r="G29" s="898">
        <v>1341264</v>
      </c>
      <c r="H29" s="875">
        <v>0</v>
      </c>
      <c r="I29" s="898">
        <v>2281690</v>
      </c>
      <c r="J29" s="875">
        <v>1584270</v>
      </c>
      <c r="K29" s="898">
        <v>1445509</v>
      </c>
      <c r="L29" s="875">
        <v>0</v>
      </c>
      <c r="M29" s="908">
        <v>2421053</v>
      </c>
      <c r="N29" s="898">
        <v>1013126</v>
      </c>
    </row>
    <row r="30" spans="1:14" ht="15" customHeight="1" x14ac:dyDescent="0.2">
      <c r="A30" s="869"/>
      <c r="B30" s="779" t="s">
        <v>328</v>
      </c>
      <c r="C30" s="878" t="s">
        <v>293</v>
      </c>
      <c r="D30" s="879">
        <v>2647</v>
      </c>
      <c r="E30" s="880">
        <v>2869</v>
      </c>
      <c r="F30" s="881">
        <v>2253</v>
      </c>
      <c r="G30" s="882">
        <v>2090</v>
      </c>
      <c r="H30" s="883">
        <v>9909</v>
      </c>
      <c r="I30" s="882">
        <v>4840</v>
      </c>
      <c r="J30" s="883">
        <v>3071</v>
      </c>
      <c r="K30" s="882">
        <v>3179</v>
      </c>
      <c r="L30" s="883">
        <v>0</v>
      </c>
      <c r="M30" s="884">
        <v>3079</v>
      </c>
      <c r="N30" s="882">
        <v>1880</v>
      </c>
    </row>
    <row r="31" spans="1:14" ht="15" customHeight="1" x14ac:dyDescent="0.2">
      <c r="A31" s="849"/>
      <c r="B31" s="744"/>
      <c r="C31" s="850" t="s">
        <v>294</v>
      </c>
      <c r="D31" s="851">
        <v>2788</v>
      </c>
      <c r="E31" s="852">
        <v>3018</v>
      </c>
      <c r="F31" s="853">
        <v>2362</v>
      </c>
      <c r="G31" s="854">
        <v>2553</v>
      </c>
      <c r="H31" s="855">
        <v>0</v>
      </c>
      <c r="I31" s="854">
        <v>4343</v>
      </c>
      <c r="J31" s="855">
        <v>3016</v>
      </c>
      <c r="K31" s="854">
        <v>2752</v>
      </c>
      <c r="L31" s="855">
        <v>0</v>
      </c>
      <c r="M31" s="856">
        <v>4609</v>
      </c>
      <c r="N31" s="854">
        <v>1929</v>
      </c>
    </row>
    <row r="32" spans="1:14" ht="15" customHeight="1" x14ac:dyDescent="0.2">
      <c r="A32" s="841" t="s">
        <v>309</v>
      </c>
      <c r="B32" s="735" t="s">
        <v>327</v>
      </c>
      <c r="C32" s="842" t="s">
        <v>293</v>
      </c>
      <c r="D32" s="843">
        <v>1640802</v>
      </c>
      <c r="E32" s="891"/>
      <c r="F32" s="892"/>
      <c r="G32" s="937">
        <v>1636888</v>
      </c>
      <c r="H32" s="938"/>
      <c r="I32" s="937">
        <v>2349741</v>
      </c>
      <c r="J32" s="938"/>
      <c r="K32" s="937">
        <v>1804640</v>
      </c>
      <c r="L32" s="938"/>
      <c r="M32" s="893">
        <v>1940972</v>
      </c>
      <c r="N32" s="846">
        <v>1071104</v>
      </c>
    </row>
    <row r="33" spans="1:14" ht="15" customHeight="1" x14ac:dyDescent="0.2">
      <c r="A33" s="869"/>
      <c r="B33" s="779"/>
      <c r="C33" s="870" t="s">
        <v>294</v>
      </c>
      <c r="D33" s="894">
        <v>1636071</v>
      </c>
      <c r="E33" s="895"/>
      <c r="F33" s="896"/>
      <c r="G33" s="926">
        <v>1685232</v>
      </c>
      <c r="H33" s="927"/>
      <c r="I33" s="926">
        <v>2206037</v>
      </c>
      <c r="J33" s="927"/>
      <c r="K33" s="926">
        <v>1617230</v>
      </c>
      <c r="L33" s="927"/>
      <c r="M33" s="897">
        <v>2486364</v>
      </c>
      <c r="N33" s="898">
        <v>1069264</v>
      </c>
    </row>
    <row r="34" spans="1:14" ht="15" customHeight="1" x14ac:dyDescent="0.2">
      <c r="A34" s="899"/>
      <c r="B34" s="779" t="s">
        <v>328</v>
      </c>
      <c r="C34" s="878" t="s">
        <v>293</v>
      </c>
      <c r="D34" s="879">
        <v>3097</v>
      </c>
      <c r="E34" s="900"/>
      <c r="F34" s="901"/>
      <c r="G34" s="939">
        <v>3089</v>
      </c>
      <c r="H34" s="940"/>
      <c r="I34" s="939">
        <v>4435</v>
      </c>
      <c r="J34" s="940"/>
      <c r="K34" s="939">
        <v>3406</v>
      </c>
      <c r="L34" s="940"/>
      <c r="M34" s="902">
        <v>3663</v>
      </c>
      <c r="N34" s="882">
        <v>2022</v>
      </c>
    </row>
    <row r="35" spans="1:14" ht="15" customHeight="1" x14ac:dyDescent="0.2">
      <c r="A35" s="849"/>
      <c r="B35" s="744"/>
      <c r="C35" s="850" t="s">
        <v>294</v>
      </c>
      <c r="D35" s="851">
        <v>3114</v>
      </c>
      <c r="E35" s="903"/>
      <c r="F35" s="904"/>
      <c r="G35" s="941">
        <v>3208</v>
      </c>
      <c r="H35" s="942"/>
      <c r="I35" s="941">
        <v>4199</v>
      </c>
      <c r="J35" s="942"/>
      <c r="K35" s="941">
        <v>3078</v>
      </c>
      <c r="L35" s="942"/>
      <c r="M35" s="905">
        <v>4733</v>
      </c>
      <c r="N35" s="854">
        <v>2035</v>
      </c>
    </row>
    <row r="36" spans="1:14" ht="15.75" customHeight="1" x14ac:dyDescent="0.2">
      <c r="A36" s="841" t="s">
        <v>311</v>
      </c>
      <c r="B36" s="735" t="s">
        <v>327</v>
      </c>
      <c r="C36" s="842" t="s">
        <v>293</v>
      </c>
      <c r="D36" s="843">
        <v>1875000</v>
      </c>
      <c r="E36" s="891"/>
      <c r="F36" s="892"/>
      <c r="G36" s="937">
        <v>1636888</v>
      </c>
      <c r="H36" s="938"/>
      <c r="I36" s="937">
        <v>2349741</v>
      </c>
      <c r="J36" s="938"/>
      <c r="K36" s="937">
        <v>1804640</v>
      </c>
      <c r="L36" s="938"/>
      <c r="M36" s="893">
        <v>1940972</v>
      </c>
      <c r="N36" s="846">
        <v>1922088</v>
      </c>
    </row>
    <row r="37" spans="1:14" ht="15" customHeight="1" x14ac:dyDescent="0.2">
      <c r="A37" s="869"/>
      <c r="B37" s="779"/>
      <c r="C37" s="870" t="s">
        <v>294</v>
      </c>
      <c r="D37" s="894">
        <v>1793422</v>
      </c>
      <c r="E37" s="895"/>
      <c r="F37" s="896"/>
      <c r="G37" s="926">
        <v>1685232</v>
      </c>
      <c r="H37" s="927"/>
      <c r="I37" s="926">
        <v>2206037</v>
      </c>
      <c r="J37" s="927"/>
      <c r="K37" s="926">
        <v>1617230</v>
      </c>
      <c r="L37" s="927"/>
      <c r="M37" s="897">
        <v>2486364</v>
      </c>
      <c r="N37" s="898">
        <v>1699567</v>
      </c>
    </row>
    <row r="38" spans="1:14" ht="15" customHeight="1" x14ac:dyDescent="0.2">
      <c r="A38" s="899"/>
      <c r="B38" s="779" t="s">
        <v>328</v>
      </c>
      <c r="C38" s="878" t="s">
        <v>293</v>
      </c>
      <c r="D38" s="879">
        <v>3539</v>
      </c>
      <c r="E38" s="900"/>
      <c r="F38" s="901"/>
      <c r="G38" s="939">
        <v>3089</v>
      </c>
      <c r="H38" s="940"/>
      <c r="I38" s="939">
        <v>4435</v>
      </c>
      <c r="J38" s="940"/>
      <c r="K38" s="939">
        <v>3406</v>
      </c>
      <c r="L38" s="940"/>
      <c r="M38" s="902">
        <v>3663</v>
      </c>
      <c r="N38" s="882">
        <v>3628</v>
      </c>
    </row>
    <row r="39" spans="1:14" ht="15" customHeight="1" x14ac:dyDescent="0.2">
      <c r="A39" s="849"/>
      <c r="B39" s="744"/>
      <c r="C39" s="850" t="s">
        <v>294</v>
      </c>
      <c r="D39" s="851">
        <v>3414</v>
      </c>
      <c r="E39" s="903"/>
      <c r="F39" s="904"/>
      <c r="G39" s="941">
        <v>3208</v>
      </c>
      <c r="H39" s="942"/>
      <c r="I39" s="941">
        <v>4199</v>
      </c>
      <c r="J39" s="942"/>
      <c r="K39" s="941">
        <v>3078</v>
      </c>
      <c r="L39" s="942"/>
      <c r="M39" s="905">
        <v>4733</v>
      </c>
      <c r="N39" s="854">
        <v>3235</v>
      </c>
    </row>
    <row r="40" spans="1:14" ht="15" customHeight="1" x14ac:dyDescent="0.2">
      <c r="A40" s="936" t="s">
        <v>313</v>
      </c>
      <c r="B40" s="943"/>
      <c r="C40" s="943"/>
      <c r="D40" s="943"/>
      <c r="E40" s="943"/>
      <c r="F40" s="943"/>
      <c r="G40" s="943"/>
      <c r="H40" s="943"/>
      <c r="I40" s="943"/>
      <c r="J40" s="943"/>
      <c r="K40" s="943"/>
      <c r="L40" s="943"/>
      <c r="M40" s="943"/>
      <c r="N40" s="943"/>
    </row>
    <row r="41" spans="1:14" ht="15.75" customHeight="1" x14ac:dyDescent="0.2">
      <c r="A41" s="841" t="s">
        <v>59</v>
      </c>
      <c r="B41" s="779" t="s">
        <v>314</v>
      </c>
      <c r="C41" s="878" t="s">
        <v>293</v>
      </c>
      <c r="D41" s="879">
        <v>581</v>
      </c>
      <c r="E41" s="900"/>
      <c r="F41" s="901"/>
      <c r="G41" s="939">
        <v>517</v>
      </c>
      <c r="H41" s="940"/>
      <c r="I41" s="944">
        <v>0</v>
      </c>
      <c r="J41" s="940"/>
      <c r="K41" s="939">
        <v>64</v>
      </c>
      <c r="L41" s="940"/>
      <c r="M41" s="884">
        <v>0</v>
      </c>
      <c r="N41" s="882">
        <v>0</v>
      </c>
    </row>
    <row r="42" spans="1:14" ht="15" customHeight="1" x14ac:dyDescent="0.2">
      <c r="A42" s="916"/>
      <c r="B42" s="779"/>
      <c r="C42" s="870" t="s">
        <v>294</v>
      </c>
      <c r="D42" s="894">
        <v>551</v>
      </c>
      <c r="E42" s="895"/>
      <c r="F42" s="896"/>
      <c r="G42" s="926">
        <v>477</v>
      </c>
      <c r="H42" s="927"/>
      <c r="I42" s="945">
        <v>0</v>
      </c>
      <c r="J42" s="927"/>
      <c r="K42" s="926">
        <v>74</v>
      </c>
      <c r="L42" s="927"/>
      <c r="M42" s="908">
        <v>0</v>
      </c>
      <c r="N42" s="898">
        <v>0</v>
      </c>
    </row>
    <row r="43" spans="1:14" ht="15" customHeight="1" x14ac:dyDescent="0.2">
      <c r="A43" s="869" t="s">
        <v>315</v>
      </c>
      <c r="B43" s="779" t="s">
        <v>314</v>
      </c>
      <c r="C43" s="878" t="s">
        <v>293</v>
      </c>
      <c r="D43" s="917">
        <v>253</v>
      </c>
      <c r="E43" s="900"/>
      <c r="F43" s="901"/>
      <c r="G43" s="939">
        <v>127</v>
      </c>
      <c r="H43" s="940"/>
      <c r="I43" s="944">
        <v>0</v>
      </c>
      <c r="J43" s="940"/>
      <c r="K43" s="939">
        <v>28</v>
      </c>
      <c r="L43" s="940"/>
      <c r="M43" s="884">
        <v>0</v>
      </c>
      <c r="N43" s="882">
        <v>98</v>
      </c>
    </row>
    <row r="44" spans="1:14" ht="15" customHeight="1" x14ac:dyDescent="0.2">
      <c r="A44" s="869"/>
      <c r="B44" s="779"/>
      <c r="C44" s="870" t="s">
        <v>294</v>
      </c>
      <c r="D44" s="894">
        <v>126</v>
      </c>
      <c r="E44" s="895"/>
      <c r="F44" s="896"/>
      <c r="G44" s="946">
        <v>52</v>
      </c>
      <c r="H44" s="927"/>
      <c r="I44" s="946">
        <v>0</v>
      </c>
      <c r="J44" s="927"/>
      <c r="K44" s="946">
        <v>12</v>
      </c>
      <c r="L44" s="927"/>
      <c r="M44" s="908">
        <v>0</v>
      </c>
      <c r="N44" s="898">
        <v>62</v>
      </c>
    </row>
    <row r="45" spans="1:14" ht="15" customHeight="1" x14ac:dyDescent="0.2">
      <c r="A45" s="869" t="s">
        <v>329</v>
      </c>
      <c r="B45" s="779" t="s">
        <v>314</v>
      </c>
      <c r="C45" s="878" t="s">
        <v>293</v>
      </c>
      <c r="D45" s="879">
        <v>1135</v>
      </c>
      <c r="E45" s="900"/>
      <c r="F45" s="901"/>
      <c r="G45" s="946">
        <v>0</v>
      </c>
      <c r="H45" s="927"/>
      <c r="I45" s="946">
        <v>0</v>
      </c>
      <c r="J45" s="927"/>
      <c r="K45" s="946">
        <v>0</v>
      </c>
      <c r="L45" s="927"/>
      <c r="M45" s="884">
        <v>0</v>
      </c>
      <c r="N45" s="882">
        <v>1125</v>
      </c>
    </row>
    <row r="46" spans="1:14" ht="15" customHeight="1" x14ac:dyDescent="0.2">
      <c r="A46" s="869"/>
      <c r="B46" s="779"/>
      <c r="C46" s="870" t="s">
        <v>294</v>
      </c>
      <c r="D46" s="894">
        <v>734</v>
      </c>
      <c r="E46" s="895"/>
      <c r="F46" s="896"/>
      <c r="G46" s="946">
        <v>0</v>
      </c>
      <c r="H46" s="927"/>
      <c r="I46" s="946">
        <v>0</v>
      </c>
      <c r="J46" s="927"/>
      <c r="K46" s="946">
        <v>0</v>
      </c>
      <c r="L46" s="927"/>
      <c r="M46" s="908">
        <v>0</v>
      </c>
      <c r="N46" s="898">
        <v>728</v>
      </c>
    </row>
    <row r="47" spans="1:14" ht="15" customHeight="1" x14ac:dyDescent="0.2">
      <c r="A47" s="916" t="s">
        <v>330</v>
      </c>
      <c r="B47" s="779" t="s">
        <v>314</v>
      </c>
      <c r="C47" s="878" t="s">
        <v>293</v>
      </c>
      <c r="D47" s="879">
        <v>1969</v>
      </c>
      <c r="E47" s="900"/>
      <c r="F47" s="901"/>
      <c r="G47" s="939">
        <v>644</v>
      </c>
      <c r="H47" s="940"/>
      <c r="I47" s="944">
        <v>0</v>
      </c>
      <c r="J47" s="940"/>
      <c r="K47" s="939">
        <v>92</v>
      </c>
      <c r="L47" s="940"/>
      <c r="M47" s="884">
        <v>0</v>
      </c>
      <c r="N47" s="882">
        <v>1223</v>
      </c>
    </row>
    <row r="48" spans="1:14" ht="15" customHeight="1" x14ac:dyDescent="0.2">
      <c r="A48" s="916"/>
      <c r="B48" s="779"/>
      <c r="C48" s="870" t="s">
        <v>294</v>
      </c>
      <c r="D48" s="894">
        <v>1411</v>
      </c>
      <c r="E48" s="895"/>
      <c r="F48" s="896"/>
      <c r="G48" s="926">
        <v>529</v>
      </c>
      <c r="H48" s="927"/>
      <c r="I48" s="945">
        <v>0</v>
      </c>
      <c r="J48" s="927"/>
      <c r="K48" s="926">
        <v>86</v>
      </c>
      <c r="L48" s="927"/>
      <c r="M48" s="908">
        <v>0</v>
      </c>
      <c r="N48" s="898">
        <v>790</v>
      </c>
    </row>
    <row r="49" spans="1:14" ht="15" customHeight="1" x14ac:dyDescent="0.2">
      <c r="A49" s="899"/>
      <c r="B49" s="779" t="s">
        <v>317</v>
      </c>
      <c r="C49" s="878" t="s">
        <v>293</v>
      </c>
      <c r="D49" s="879">
        <v>119</v>
      </c>
      <c r="E49" s="900"/>
      <c r="F49" s="901"/>
      <c r="G49" s="939">
        <v>39</v>
      </c>
      <c r="H49" s="940"/>
      <c r="I49" s="944">
        <v>0</v>
      </c>
      <c r="J49" s="940"/>
      <c r="K49" s="939">
        <v>6</v>
      </c>
      <c r="L49" s="940"/>
      <c r="M49" s="884">
        <v>0</v>
      </c>
      <c r="N49" s="882">
        <v>74</v>
      </c>
    </row>
    <row r="50" spans="1:14" ht="15" customHeight="1" x14ac:dyDescent="0.2">
      <c r="A50" s="849"/>
      <c r="B50" s="744"/>
      <c r="C50" s="850" t="s">
        <v>294</v>
      </c>
      <c r="D50" s="851">
        <v>86</v>
      </c>
      <c r="E50" s="903"/>
      <c r="F50" s="904"/>
      <c r="G50" s="941">
        <v>32</v>
      </c>
      <c r="H50" s="942"/>
      <c r="I50" s="947">
        <v>0</v>
      </c>
      <c r="J50" s="942"/>
      <c r="K50" s="941">
        <v>5</v>
      </c>
      <c r="L50" s="942"/>
      <c r="M50" s="856">
        <v>0</v>
      </c>
      <c r="N50" s="854">
        <v>48</v>
      </c>
    </row>
    <row r="51" spans="1:14" s="716" customFormat="1" x14ac:dyDescent="0.2"/>
    <row r="52" spans="1:14" s="716" customFormat="1" x14ac:dyDescent="0.2"/>
    <row r="53" spans="1:14" s="716" customFormat="1" x14ac:dyDescent="0.2"/>
    <row r="54" spans="1:14" s="716" customFormat="1" x14ac:dyDescent="0.2"/>
    <row r="55" spans="1:14" s="716" customFormat="1" x14ac:dyDescent="0.2"/>
    <row r="56" spans="1:14" s="716" customFormat="1" x14ac:dyDescent="0.2"/>
    <row r="57" spans="1:14" s="716" customFormat="1" x14ac:dyDescent="0.2"/>
    <row r="58" spans="1:14" s="716" customFormat="1" x14ac:dyDescent="0.2"/>
    <row r="59" spans="1:14" s="716" customFormat="1" x14ac:dyDescent="0.2"/>
    <row r="60" spans="1:14" s="716" customFormat="1" x14ac:dyDescent="0.2"/>
    <row r="61" spans="1:14" s="716" customFormat="1" x14ac:dyDescent="0.2"/>
    <row r="62" spans="1:14" s="716" customFormat="1" x14ac:dyDescent="0.2"/>
    <row r="63" spans="1:14" s="716" customFormat="1" x14ac:dyDescent="0.2"/>
    <row r="64" spans="1:14" s="716" customFormat="1" x14ac:dyDescent="0.2"/>
    <row r="65" s="716" customFormat="1" x14ac:dyDescent="0.2"/>
    <row r="66" s="716" customFormat="1" x14ac:dyDescent="0.2"/>
  </sheetData>
  <mergeCells count="75">
    <mergeCell ref="G49:H49"/>
    <mergeCell ref="I49:J49"/>
    <mergeCell ref="K49:L49"/>
    <mergeCell ref="G50:H50"/>
    <mergeCell ref="I50:J50"/>
    <mergeCell ref="K50:L50"/>
    <mergeCell ref="G47:H47"/>
    <mergeCell ref="I47:J47"/>
    <mergeCell ref="K47:L47"/>
    <mergeCell ref="G48:H48"/>
    <mergeCell ref="I48:J48"/>
    <mergeCell ref="K48:L48"/>
    <mergeCell ref="G45:H45"/>
    <mergeCell ref="I45:J45"/>
    <mergeCell ref="K45:L45"/>
    <mergeCell ref="G46:H46"/>
    <mergeCell ref="I46:J46"/>
    <mergeCell ref="K46:L46"/>
    <mergeCell ref="G43:H43"/>
    <mergeCell ref="I43:J43"/>
    <mergeCell ref="K43:L43"/>
    <mergeCell ref="G44:H44"/>
    <mergeCell ref="I44:J44"/>
    <mergeCell ref="K44:L44"/>
    <mergeCell ref="A40:N40"/>
    <mergeCell ref="G41:H41"/>
    <mergeCell ref="I41:J41"/>
    <mergeCell ref="K41:L41"/>
    <mergeCell ref="G42:H42"/>
    <mergeCell ref="I42:J42"/>
    <mergeCell ref="K42:L42"/>
    <mergeCell ref="G38:H38"/>
    <mergeCell ref="I38:J38"/>
    <mergeCell ref="K38:L38"/>
    <mergeCell ref="G39:H39"/>
    <mergeCell ref="I39:J39"/>
    <mergeCell ref="K39:L39"/>
    <mergeCell ref="G36:H36"/>
    <mergeCell ref="I36:J36"/>
    <mergeCell ref="K36:L36"/>
    <mergeCell ref="G37:H37"/>
    <mergeCell ref="I37:J37"/>
    <mergeCell ref="K37:L37"/>
    <mergeCell ref="G34:H34"/>
    <mergeCell ref="I34:J34"/>
    <mergeCell ref="K34:L34"/>
    <mergeCell ref="G35:H35"/>
    <mergeCell ref="I35:J35"/>
    <mergeCell ref="K35:L35"/>
    <mergeCell ref="G32:H32"/>
    <mergeCell ref="I32:J32"/>
    <mergeCell ref="K32:L32"/>
    <mergeCell ref="G33:H33"/>
    <mergeCell ref="I33:J33"/>
    <mergeCell ref="K33:L33"/>
    <mergeCell ref="G22:H22"/>
    <mergeCell ref="I22:J22"/>
    <mergeCell ref="K22:L22"/>
    <mergeCell ref="G23:H23"/>
    <mergeCell ref="I23:J23"/>
    <mergeCell ref="K23:L23"/>
    <mergeCell ref="G21:H21"/>
    <mergeCell ref="I21:J21"/>
    <mergeCell ref="K21:L21"/>
    <mergeCell ref="A1:N1"/>
    <mergeCell ref="D3:N3"/>
    <mergeCell ref="D4:F4"/>
    <mergeCell ref="G4:H4"/>
    <mergeCell ref="I4:J4"/>
    <mergeCell ref="K4:L4"/>
    <mergeCell ref="A6:N6"/>
    <mergeCell ref="A19:N19"/>
    <mergeCell ref="G20:H20"/>
    <mergeCell ref="I20:J20"/>
    <mergeCell ref="K20:L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M399"/>
  <sheetViews>
    <sheetView tabSelected="1" zoomScaleNormal="100" workbookViewId="0">
      <selection activeCell="CU8" sqref="CU8"/>
    </sheetView>
  </sheetViews>
  <sheetFormatPr defaultRowHeight="15" x14ac:dyDescent="0.25"/>
  <cols>
    <col min="1" max="1" width="3" customWidth="1"/>
    <col min="2" max="2" width="35.42578125" customWidth="1"/>
    <col min="3" max="42" width="9.7109375" hidden="1" customWidth="1"/>
    <col min="43" max="43" width="12.7109375" hidden="1" customWidth="1"/>
    <col min="44" max="48" width="9.7109375" hidden="1" customWidth="1"/>
    <col min="49" max="50" width="10.42578125" hidden="1" customWidth="1"/>
    <col min="51" max="62" width="9.140625" hidden="1" customWidth="1"/>
    <col min="63" max="66" width="10.28515625" hidden="1" customWidth="1"/>
    <col min="67" max="70" width="10.7109375" hidden="1" customWidth="1"/>
    <col min="71" max="71" width="10.85546875" hidden="1" customWidth="1"/>
    <col min="72" max="73" width="10.42578125" hidden="1" customWidth="1"/>
    <col min="74" max="74" width="10.140625" hidden="1" customWidth="1"/>
    <col min="75" max="75" width="10.5703125" hidden="1" customWidth="1"/>
    <col min="76" max="77" width="10.42578125" hidden="1" customWidth="1"/>
    <col min="78" max="78" width="10.5703125" hidden="1" customWidth="1"/>
    <col min="79" max="79" width="10.140625" style="208" hidden="1" customWidth="1"/>
    <col min="80" max="82" width="10.42578125" hidden="1" customWidth="1"/>
    <col min="83" max="83" width="10.85546875" style="208" hidden="1" customWidth="1"/>
    <col min="84" max="84" width="12" hidden="1" customWidth="1"/>
    <col min="85" max="86" width="10.42578125" hidden="1" customWidth="1"/>
    <col min="87" max="87" width="10.85546875" style="208" hidden="1" customWidth="1"/>
    <col min="88" max="88" width="12" hidden="1" customWidth="1"/>
    <col min="89" max="90" width="10.42578125" hidden="1" customWidth="1"/>
    <col min="91" max="91" width="10.85546875" style="208" bestFit="1" customWidth="1"/>
    <col min="92" max="92" width="12" customWidth="1"/>
    <col min="93" max="94" width="10.42578125" customWidth="1"/>
    <col min="95" max="95" width="10.85546875" style="208" bestFit="1" customWidth="1"/>
    <col min="96" max="96" width="12" customWidth="1"/>
    <col min="97" max="98" width="10.42578125" customWidth="1"/>
    <col min="99" max="99" width="10.85546875" style="208" bestFit="1" customWidth="1"/>
    <col min="100" max="100" width="12" customWidth="1"/>
    <col min="101" max="102" width="10.42578125" hidden="1" customWidth="1"/>
    <col min="103" max="247" width="9.140625" style="208"/>
  </cols>
  <sheetData>
    <row r="1" spans="1:119" x14ac:dyDescent="0.25">
      <c r="A1" s="164"/>
      <c r="B1" s="163"/>
      <c r="C1" s="92" t="s">
        <v>0</v>
      </c>
      <c r="D1" s="93" t="s">
        <v>1</v>
      </c>
      <c r="E1" s="93" t="s">
        <v>2</v>
      </c>
      <c r="F1" s="93" t="s">
        <v>3</v>
      </c>
      <c r="G1" s="92" t="s">
        <v>4</v>
      </c>
      <c r="H1" s="93" t="s">
        <v>5</v>
      </c>
      <c r="I1" s="93" t="s">
        <v>6</v>
      </c>
      <c r="J1" s="93" t="s">
        <v>7</v>
      </c>
      <c r="K1" s="92" t="s">
        <v>8</v>
      </c>
      <c r="L1" s="93" t="s">
        <v>9</v>
      </c>
      <c r="M1" s="93" t="s">
        <v>10</v>
      </c>
      <c r="N1" s="93" t="s">
        <v>11</v>
      </c>
      <c r="O1" s="92" t="s">
        <v>12</v>
      </c>
      <c r="P1" s="93" t="s">
        <v>13</v>
      </c>
      <c r="Q1" s="93" t="s">
        <v>14</v>
      </c>
      <c r="R1" s="93" t="s">
        <v>15</v>
      </c>
      <c r="S1" s="92" t="s">
        <v>16</v>
      </c>
      <c r="T1" s="93" t="s">
        <v>17</v>
      </c>
      <c r="U1" s="93" t="s">
        <v>18</v>
      </c>
      <c r="V1" s="93" t="s">
        <v>19</v>
      </c>
      <c r="W1" s="92" t="s">
        <v>20</v>
      </c>
      <c r="X1" s="93" t="s">
        <v>21</v>
      </c>
      <c r="Y1" s="93" t="s">
        <v>22</v>
      </c>
      <c r="Z1" s="93" t="s">
        <v>23</v>
      </c>
      <c r="AA1" s="92" t="s">
        <v>24</v>
      </c>
      <c r="AB1" s="93" t="s">
        <v>25</v>
      </c>
      <c r="AC1" s="93" t="s">
        <v>26</v>
      </c>
      <c r="AD1" s="93" t="s">
        <v>27</v>
      </c>
      <c r="AE1" s="92" t="s">
        <v>28</v>
      </c>
      <c r="AF1" s="93" t="s">
        <v>29</v>
      </c>
      <c r="AG1" s="93" t="s">
        <v>30</v>
      </c>
      <c r="AH1" s="93" t="s">
        <v>31</v>
      </c>
      <c r="AI1" s="92" t="s">
        <v>32</v>
      </c>
      <c r="AJ1" s="93" t="s">
        <v>33</v>
      </c>
      <c r="AK1" s="93" t="s">
        <v>34</v>
      </c>
      <c r="AL1" s="93" t="s">
        <v>35</v>
      </c>
      <c r="AM1" s="92" t="s">
        <v>36</v>
      </c>
      <c r="AN1" s="93" t="s">
        <v>37</v>
      </c>
      <c r="AO1" s="93" t="s">
        <v>38</v>
      </c>
      <c r="AP1" s="93" t="s">
        <v>39</v>
      </c>
      <c r="AQ1" s="92" t="s">
        <v>40</v>
      </c>
      <c r="AR1" s="93" t="s">
        <v>41</v>
      </c>
      <c r="AS1" s="93" t="s">
        <v>42</v>
      </c>
      <c r="AT1" s="93" t="s">
        <v>43</v>
      </c>
      <c r="AU1" s="92" t="s">
        <v>44</v>
      </c>
      <c r="AV1" s="92" t="s">
        <v>45</v>
      </c>
      <c r="AW1" s="92" t="s">
        <v>46</v>
      </c>
      <c r="AX1" s="94">
        <v>41609</v>
      </c>
      <c r="AY1" s="95" t="s">
        <v>47</v>
      </c>
      <c r="AZ1" s="96" t="s">
        <v>48</v>
      </c>
      <c r="BA1" s="96" t="s">
        <v>89</v>
      </c>
      <c r="BB1" s="97">
        <v>41977</v>
      </c>
      <c r="BC1" s="95" t="s">
        <v>90</v>
      </c>
      <c r="BD1" s="96" t="s">
        <v>92</v>
      </c>
      <c r="BE1" s="96" t="s">
        <v>95</v>
      </c>
      <c r="BF1" s="98" t="s">
        <v>96</v>
      </c>
      <c r="BG1" s="95" t="s">
        <v>97</v>
      </c>
      <c r="BH1" s="96" t="s">
        <v>98</v>
      </c>
      <c r="BI1" s="96" t="s">
        <v>105</v>
      </c>
      <c r="BJ1" s="96" t="s">
        <v>106</v>
      </c>
      <c r="BK1" s="99">
        <v>42795</v>
      </c>
      <c r="BL1" s="100">
        <v>42887</v>
      </c>
      <c r="BM1" s="100">
        <v>42979</v>
      </c>
      <c r="BN1" s="97">
        <v>43070</v>
      </c>
      <c r="BO1" s="101">
        <v>43160</v>
      </c>
      <c r="BP1" s="102">
        <v>43252</v>
      </c>
      <c r="BQ1" s="102">
        <v>43344</v>
      </c>
      <c r="BR1" s="102">
        <v>43435</v>
      </c>
      <c r="BS1" s="101">
        <v>43525</v>
      </c>
      <c r="BT1" s="102">
        <v>43617</v>
      </c>
      <c r="BU1" s="102">
        <v>43709</v>
      </c>
      <c r="BV1" s="258">
        <v>43800</v>
      </c>
      <c r="BW1" s="102">
        <v>43910</v>
      </c>
      <c r="BX1" s="102">
        <v>44002</v>
      </c>
      <c r="BY1" s="102">
        <v>44094</v>
      </c>
      <c r="BZ1" s="102">
        <v>44185</v>
      </c>
      <c r="CA1" s="101">
        <v>44275</v>
      </c>
      <c r="CB1" s="102">
        <v>44367</v>
      </c>
      <c r="CC1" s="102">
        <v>44459</v>
      </c>
      <c r="CD1" s="468">
        <v>44550</v>
      </c>
      <c r="CE1" s="101">
        <v>44640</v>
      </c>
      <c r="CF1" s="102">
        <v>44732</v>
      </c>
      <c r="CG1" s="102">
        <v>44824</v>
      </c>
      <c r="CH1" s="468">
        <v>44915</v>
      </c>
      <c r="CI1" s="101">
        <v>45005</v>
      </c>
      <c r="CJ1" s="102">
        <v>45097</v>
      </c>
      <c r="CK1" s="102">
        <v>45189</v>
      </c>
      <c r="CL1" s="468">
        <v>45280</v>
      </c>
      <c r="CM1" s="101">
        <v>45371</v>
      </c>
      <c r="CN1" s="102">
        <v>45463</v>
      </c>
      <c r="CO1" s="102">
        <v>45555</v>
      </c>
      <c r="CP1" s="468">
        <v>45646</v>
      </c>
      <c r="CQ1" s="101">
        <v>45736</v>
      </c>
      <c r="CR1" s="102">
        <v>45828</v>
      </c>
      <c r="CS1" s="102">
        <v>45920</v>
      </c>
      <c r="CT1" s="468">
        <v>46011</v>
      </c>
      <c r="CU1" s="101">
        <v>46101</v>
      </c>
      <c r="CV1" s="102">
        <v>46193</v>
      </c>
      <c r="CW1" s="102">
        <v>46285</v>
      </c>
      <c r="CX1" s="468">
        <v>46376</v>
      </c>
    </row>
    <row r="2" spans="1:119" ht="21" x14ac:dyDescent="0.35">
      <c r="A2" s="166"/>
      <c r="B2" s="165" t="s">
        <v>49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 t="s">
        <v>50</v>
      </c>
      <c r="AV2" s="103"/>
      <c r="AW2" s="103"/>
      <c r="AX2" s="103"/>
      <c r="AY2" s="104"/>
      <c r="AZ2" s="103"/>
      <c r="BA2" s="103"/>
      <c r="BB2" s="105"/>
      <c r="BC2" s="104"/>
      <c r="BD2" s="103"/>
      <c r="BE2" s="103"/>
      <c r="BF2" s="105"/>
      <c r="BG2" s="104"/>
      <c r="BH2" s="103"/>
      <c r="BI2" s="103"/>
      <c r="BJ2" s="106"/>
      <c r="BK2" s="107"/>
      <c r="BL2" s="106"/>
      <c r="BM2" s="106"/>
      <c r="BN2" s="108"/>
      <c r="BO2" s="107"/>
      <c r="BP2" s="106"/>
      <c r="BQ2" s="106"/>
      <c r="BR2" s="106"/>
      <c r="BS2" s="107"/>
      <c r="BT2" s="106"/>
      <c r="BU2" s="106"/>
      <c r="BV2" s="108"/>
      <c r="BW2" s="106"/>
      <c r="BX2" s="106"/>
      <c r="BY2" s="106"/>
      <c r="BZ2" s="106"/>
      <c r="CA2" s="107"/>
      <c r="CB2" s="106"/>
      <c r="CC2" s="106"/>
      <c r="CD2" s="108"/>
      <c r="CE2" s="107"/>
      <c r="CF2" s="106"/>
      <c r="CG2" s="106"/>
      <c r="CH2" s="108"/>
      <c r="CI2" s="107"/>
      <c r="CJ2" s="106"/>
      <c r="CK2" s="106"/>
      <c r="CL2" s="108"/>
      <c r="CM2" s="107"/>
      <c r="CN2" s="106"/>
      <c r="CO2" s="106"/>
      <c r="CP2" s="108"/>
      <c r="CQ2" s="107"/>
      <c r="CR2" s="106"/>
      <c r="CS2" s="106"/>
      <c r="CT2" s="108"/>
      <c r="CU2" s="107"/>
      <c r="CV2" s="106"/>
      <c r="CW2" s="106"/>
      <c r="CX2" s="108"/>
    </row>
    <row r="3" spans="1:119" s="208" customFormat="1" x14ac:dyDescent="0.25">
      <c r="A3" s="225"/>
      <c r="B3" s="290" t="s">
        <v>51</v>
      </c>
      <c r="C3" s="214">
        <v>7929</v>
      </c>
      <c r="D3" s="214">
        <v>8731</v>
      </c>
      <c r="E3" s="214">
        <v>8222</v>
      </c>
      <c r="F3" s="214">
        <v>9031</v>
      </c>
      <c r="G3" s="214">
        <v>9117</v>
      </c>
      <c r="H3" s="214">
        <v>9308</v>
      </c>
      <c r="I3" s="214">
        <v>7916</v>
      </c>
      <c r="J3" s="214">
        <v>7923</v>
      </c>
      <c r="K3" s="214">
        <v>7243</v>
      </c>
      <c r="L3" s="214">
        <v>6935</v>
      </c>
      <c r="M3" s="214">
        <v>7511</v>
      </c>
      <c r="N3" s="214">
        <v>6708</v>
      </c>
      <c r="O3" s="214">
        <v>6742</v>
      </c>
      <c r="P3" s="214">
        <v>6844</v>
      </c>
      <c r="Q3" s="214">
        <v>6922</v>
      </c>
      <c r="R3" s="214">
        <v>7259</v>
      </c>
      <c r="S3" s="214">
        <v>6141</v>
      </c>
      <c r="T3" s="214">
        <v>7104</v>
      </c>
      <c r="U3" s="214">
        <v>7039</v>
      </c>
      <c r="V3" s="214">
        <v>7454</v>
      </c>
      <c r="W3" s="214">
        <v>6629</v>
      </c>
      <c r="X3" s="214">
        <v>6884</v>
      </c>
      <c r="Y3" s="214">
        <v>7522</v>
      </c>
      <c r="Z3" s="214">
        <v>7570</v>
      </c>
      <c r="AA3" s="249">
        <f>3622+674+1533</f>
        <v>5829</v>
      </c>
      <c r="AB3" s="249">
        <f>4066+846+1625</f>
        <v>6537</v>
      </c>
      <c r="AC3" s="249">
        <v>3828</v>
      </c>
      <c r="AD3" s="249">
        <v>3469</v>
      </c>
      <c r="AE3" s="249">
        <v>5990</v>
      </c>
      <c r="AF3" s="249">
        <v>6787</v>
      </c>
      <c r="AG3" s="249">
        <f>3719+761+1591</f>
        <v>6071</v>
      </c>
      <c r="AH3" s="249">
        <f>3806+577+1462</f>
        <v>5845</v>
      </c>
      <c r="AI3" s="249">
        <f>3468+582+1311</f>
        <v>5361</v>
      </c>
      <c r="AJ3" s="249">
        <f>4418+648+1349</f>
        <v>6415</v>
      </c>
      <c r="AK3" s="249">
        <v>7115</v>
      </c>
      <c r="AL3" s="249">
        <v>7171</v>
      </c>
      <c r="AM3" s="249">
        <v>6794</v>
      </c>
      <c r="AN3" s="249">
        <v>6656</v>
      </c>
      <c r="AO3" s="249">
        <v>5921</v>
      </c>
      <c r="AP3" s="249">
        <f>11253-AP53</f>
        <v>6272</v>
      </c>
      <c r="AQ3" s="249">
        <v>6509</v>
      </c>
      <c r="AR3" s="249">
        <v>6823</v>
      </c>
      <c r="AS3" s="249">
        <v>4716</v>
      </c>
      <c r="AT3" s="249">
        <v>2087</v>
      </c>
      <c r="AU3" s="249">
        <f>2813+754+649</f>
        <v>4216</v>
      </c>
      <c r="AV3" s="249">
        <f>2747+920+808</f>
        <v>4475</v>
      </c>
      <c r="AW3" s="249">
        <v>4684</v>
      </c>
      <c r="AX3" s="249">
        <v>4376</v>
      </c>
      <c r="AY3" s="262">
        <v>3432</v>
      </c>
      <c r="AZ3" s="249">
        <v>4515</v>
      </c>
      <c r="BA3" s="249">
        <v>4892</v>
      </c>
      <c r="BB3" s="291">
        <v>4537</v>
      </c>
      <c r="BC3" s="213">
        <v>3604</v>
      </c>
      <c r="BD3" s="214">
        <v>4013</v>
      </c>
      <c r="BE3" s="214">
        <v>4193</v>
      </c>
      <c r="BF3" s="259">
        <v>3894</v>
      </c>
      <c r="BG3" s="213">
        <v>3662</v>
      </c>
      <c r="BH3" s="214">
        <v>3493</v>
      </c>
      <c r="BI3" s="249">
        <f>1237+963+771</f>
        <v>2971</v>
      </c>
      <c r="BJ3" s="208">
        <f>1512+974+845</f>
        <v>3331</v>
      </c>
      <c r="BK3" s="213">
        <f>1309+844+802</f>
        <v>2955</v>
      </c>
      <c r="BL3" s="214">
        <f>1546+1098+937</f>
        <v>3581</v>
      </c>
      <c r="BM3" s="214">
        <f>12+1925+1009+1126</f>
        <v>4072</v>
      </c>
      <c r="BN3" s="259">
        <v>3519</v>
      </c>
      <c r="BO3" s="213">
        <f>66+1441+660+992</f>
        <v>3159</v>
      </c>
      <c r="BP3" s="214">
        <f>65+1688+676+867</f>
        <v>3296</v>
      </c>
      <c r="BQ3" s="249">
        <v>3008</v>
      </c>
      <c r="BR3" s="214">
        <f>(2+1043+564+847)</f>
        <v>2456</v>
      </c>
      <c r="BS3" s="213">
        <f>+(7+64)</f>
        <v>71</v>
      </c>
      <c r="BT3" s="214">
        <f>97+123+262</f>
        <v>482</v>
      </c>
      <c r="BU3" s="214">
        <f>1095+212+900</f>
        <v>2207</v>
      </c>
      <c r="BV3" s="259">
        <f>1165+256+890</f>
        <v>2311</v>
      </c>
      <c r="BW3" s="214">
        <f>840+230+890</f>
        <v>1960</v>
      </c>
      <c r="BX3" s="214">
        <f>253+154+347</f>
        <v>754</v>
      </c>
      <c r="BY3" s="214">
        <f>757+354+1220</f>
        <v>2331</v>
      </c>
      <c r="BZ3" s="214">
        <f>940+275+1406</f>
        <v>2621</v>
      </c>
      <c r="CA3" s="213">
        <f>759+136+1136</f>
        <v>2031</v>
      </c>
      <c r="CB3" s="214">
        <v>2323</v>
      </c>
      <c r="CC3" s="214">
        <v>2434</v>
      </c>
      <c r="CD3" s="259">
        <v>2158</v>
      </c>
      <c r="CE3" s="213">
        <v>1928</v>
      </c>
      <c r="CF3" s="214">
        <v>0</v>
      </c>
      <c r="CG3" s="214">
        <v>1276</v>
      </c>
      <c r="CH3" s="259">
        <v>2275</v>
      </c>
      <c r="CI3" s="213">
        <v>2161</v>
      </c>
      <c r="CJ3" s="214">
        <v>2373</v>
      </c>
      <c r="CK3" s="214">
        <v>1679</v>
      </c>
      <c r="CL3" s="259">
        <v>2435</v>
      </c>
      <c r="CM3" s="213">
        <f>464+496+1283</f>
        <v>2243</v>
      </c>
      <c r="CN3" s="214">
        <v>2242</v>
      </c>
      <c r="CO3" s="214">
        <v>2287</v>
      </c>
      <c r="CP3" s="259">
        <v>2548</v>
      </c>
      <c r="CQ3" s="213">
        <v>2174</v>
      </c>
      <c r="CR3" s="214">
        <v>2468</v>
      </c>
      <c r="CS3" s="214">
        <v>2369</v>
      </c>
      <c r="CT3" s="259">
        <v>2056</v>
      </c>
      <c r="CU3" s="213">
        <v>2043</v>
      </c>
      <c r="CV3" s="214">
        <v>2364.5</v>
      </c>
      <c r="CW3" s="214"/>
      <c r="CX3" s="259"/>
    </row>
    <row r="4" spans="1:119" s="208" customFormat="1" ht="15" customHeight="1" x14ac:dyDescent="0.25">
      <c r="A4" s="225"/>
      <c r="B4" s="290" t="s">
        <v>261</v>
      </c>
      <c r="C4" s="214">
        <v>169536</v>
      </c>
      <c r="D4" s="214">
        <v>179155</v>
      </c>
      <c r="E4" s="214">
        <v>183707</v>
      </c>
      <c r="F4" s="214">
        <v>190288</v>
      </c>
      <c r="G4" s="214">
        <v>174426</v>
      </c>
      <c r="H4" s="214">
        <v>183565</v>
      </c>
      <c r="I4" s="214">
        <v>176290</v>
      </c>
      <c r="J4" s="214">
        <v>148923</v>
      </c>
      <c r="K4" s="214">
        <v>143743</v>
      </c>
      <c r="L4" s="214">
        <v>156940</v>
      </c>
      <c r="M4" s="214">
        <v>161985</v>
      </c>
      <c r="N4" s="214">
        <v>168325</v>
      </c>
      <c r="O4" s="214">
        <v>160992</v>
      </c>
      <c r="P4" s="214">
        <v>169896</v>
      </c>
      <c r="Q4" s="214">
        <v>166062</v>
      </c>
      <c r="R4" s="214">
        <v>179466</v>
      </c>
      <c r="S4" s="214">
        <v>163535</v>
      </c>
      <c r="T4" s="214">
        <v>170710</v>
      </c>
      <c r="U4" s="214">
        <v>169834</v>
      </c>
      <c r="V4" s="214">
        <v>160165</v>
      </c>
      <c r="W4" s="214">
        <v>160822</v>
      </c>
      <c r="X4" s="214">
        <v>161899</v>
      </c>
      <c r="Y4" s="214">
        <v>166343</v>
      </c>
      <c r="Z4" s="214">
        <v>160044</v>
      </c>
      <c r="AA4" s="249">
        <v>118213</v>
      </c>
      <c r="AB4" s="249">
        <v>134730</v>
      </c>
      <c r="AC4" s="249">
        <v>129528</v>
      </c>
      <c r="AD4" s="249">
        <v>131267</v>
      </c>
      <c r="AE4" s="249">
        <v>136088</v>
      </c>
      <c r="AF4" s="249">
        <v>132638</v>
      </c>
      <c r="AG4" s="249">
        <v>125156</v>
      </c>
      <c r="AH4" s="249">
        <v>131163</v>
      </c>
      <c r="AI4" s="249">
        <v>111311</v>
      </c>
      <c r="AJ4" s="249">
        <v>136332</v>
      </c>
      <c r="AK4" s="249">
        <v>134341</v>
      </c>
      <c r="AL4" s="249">
        <v>126984</v>
      </c>
      <c r="AM4" s="249">
        <v>118559</v>
      </c>
      <c r="AN4" s="249">
        <v>107149</v>
      </c>
      <c r="AO4" s="249">
        <v>92889</v>
      </c>
      <c r="AP4" s="249">
        <v>110939</v>
      </c>
      <c r="AQ4" s="249">
        <v>107127</v>
      </c>
      <c r="AR4" s="249">
        <v>100953</v>
      </c>
      <c r="AS4" s="249">
        <v>72900</v>
      </c>
      <c r="AT4" s="249">
        <v>39969</v>
      </c>
      <c r="AU4" s="249">
        <v>95917</v>
      </c>
      <c r="AV4" s="249">
        <v>97996</v>
      </c>
      <c r="AW4" s="249">
        <v>101529</v>
      </c>
      <c r="AX4" s="249">
        <v>102137</v>
      </c>
      <c r="AY4" s="262">
        <v>76723</v>
      </c>
      <c r="AZ4" s="249">
        <v>94089</v>
      </c>
      <c r="BA4" s="249">
        <v>103043</v>
      </c>
      <c r="BB4" s="291">
        <v>101059</v>
      </c>
      <c r="BC4" s="213">
        <v>99063</v>
      </c>
      <c r="BD4" s="214">
        <v>100229</v>
      </c>
      <c r="BE4" s="214">
        <v>93948</v>
      </c>
      <c r="BF4" s="259">
        <v>90869</v>
      </c>
      <c r="BG4" s="213">
        <v>82836</v>
      </c>
      <c r="BH4" s="214">
        <v>78729</v>
      </c>
      <c r="BI4" s="249">
        <v>68107</v>
      </c>
      <c r="BJ4" s="214">
        <v>81483</v>
      </c>
      <c r="BK4" s="213">
        <v>74114</v>
      </c>
      <c r="BL4" s="214">
        <v>85258</v>
      </c>
      <c r="BM4" s="214">
        <v>84021</v>
      </c>
      <c r="BN4" s="259">
        <v>77657</v>
      </c>
      <c r="BO4" s="213">
        <v>72314</v>
      </c>
      <c r="BP4" s="214">
        <v>63382</v>
      </c>
      <c r="BQ4" s="249">
        <v>60386</v>
      </c>
      <c r="BR4" s="214">
        <v>44617</v>
      </c>
      <c r="BS4" s="213">
        <v>3293</v>
      </c>
      <c r="BT4" s="214">
        <v>15019</v>
      </c>
      <c r="BU4" s="214">
        <v>54544</v>
      </c>
      <c r="BV4" s="259">
        <v>52147</v>
      </c>
      <c r="BW4" s="214">
        <v>48477</v>
      </c>
      <c r="BX4" s="214">
        <v>19676</v>
      </c>
      <c r="BY4" s="214">
        <v>51312</v>
      </c>
      <c r="BZ4" s="214">
        <v>50355</v>
      </c>
      <c r="CA4" s="213">
        <v>43594</v>
      </c>
      <c r="CB4" s="214">
        <v>51425</v>
      </c>
      <c r="CC4" s="214">
        <v>54439</v>
      </c>
      <c r="CD4" s="259">
        <v>47016</v>
      </c>
      <c r="CE4" s="213">
        <v>37473</v>
      </c>
      <c r="CF4" s="214">
        <v>0</v>
      </c>
      <c r="CG4" s="214">
        <v>33931</v>
      </c>
      <c r="CH4" s="259">
        <v>47733</v>
      </c>
      <c r="CI4" s="213">
        <v>41799</v>
      </c>
      <c r="CJ4" s="214">
        <v>46174</v>
      </c>
      <c r="CK4" s="214">
        <v>27506</v>
      </c>
      <c r="CL4" s="259">
        <v>42952</v>
      </c>
      <c r="CM4" s="213">
        <v>35654</v>
      </c>
      <c r="CN4" s="214">
        <v>42030</v>
      </c>
      <c r="CO4" s="214">
        <v>39631</v>
      </c>
      <c r="CP4" s="259">
        <v>40955</v>
      </c>
      <c r="CQ4" s="213">
        <v>31655</v>
      </c>
      <c r="CR4" s="214">
        <v>40311</v>
      </c>
      <c r="CS4" s="214">
        <v>39334</v>
      </c>
      <c r="CT4" s="259">
        <v>34552</v>
      </c>
      <c r="CU4" s="213">
        <v>29568</v>
      </c>
      <c r="CV4" s="214">
        <v>36303</v>
      </c>
      <c r="CW4" s="214"/>
      <c r="CX4" s="259"/>
    </row>
    <row r="5" spans="1:119" s="208" customFormat="1" x14ac:dyDescent="0.25">
      <c r="A5" s="225"/>
      <c r="B5" s="292" t="s">
        <v>123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62"/>
      <c r="AZ5" s="249"/>
      <c r="BA5" s="249"/>
      <c r="BB5" s="291"/>
      <c r="BC5" s="213"/>
      <c r="BD5" s="214"/>
      <c r="BE5" s="214"/>
      <c r="BF5" s="259"/>
      <c r="BG5" s="213"/>
      <c r="BH5" s="214"/>
      <c r="BI5" s="249"/>
      <c r="BK5" s="225"/>
      <c r="BN5" s="227"/>
      <c r="BO5" s="288"/>
      <c r="BP5" s="243"/>
      <c r="BR5" s="293"/>
      <c r="BS5" s="294"/>
      <c r="BT5" s="293"/>
      <c r="BU5" s="293"/>
      <c r="BV5" s="295"/>
      <c r="BW5" s="293"/>
      <c r="BX5" s="293"/>
      <c r="BY5" s="293"/>
      <c r="BZ5" s="293"/>
      <c r="CA5" s="294"/>
      <c r="CB5" s="293"/>
      <c r="CC5" s="293"/>
      <c r="CD5" s="295"/>
      <c r="CE5" s="294"/>
      <c r="CF5" s="293"/>
      <c r="CG5" s="293"/>
      <c r="CH5" s="295"/>
      <c r="CI5" s="294"/>
      <c r="CJ5" s="293"/>
      <c r="CK5" s="293"/>
      <c r="CL5" s="295"/>
      <c r="CM5" s="294"/>
      <c r="CN5" s="293"/>
      <c r="CO5" s="293"/>
      <c r="CP5" s="295"/>
      <c r="CQ5" s="294"/>
      <c r="CR5" s="293"/>
      <c r="CS5" s="293"/>
      <c r="CT5" s="295"/>
      <c r="CU5" s="294"/>
      <c r="CV5" s="293"/>
      <c r="CW5" s="293"/>
      <c r="CX5" s="295"/>
    </row>
    <row r="6" spans="1:119" s="208" customFormat="1" x14ac:dyDescent="0.25">
      <c r="A6" s="225"/>
      <c r="B6" s="227" t="s">
        <v>52</v>
      </c>
      <c r="C6" s="214">
        <v>958</v>
      </c>
      <c r="D6" s="214">
        <v>891</v>
      </c>
      <c r="E6" s="214">
        <v>971</v>
      </c>
      <c r="F6" s="214">
        <v>1005</v>
      </c>
      <c r="G6" s="214">
        <v>958</v>
      </c>
      <c r="H6" s="214">
        <v>964</v>
      </c>
      <c r="I6" s="214">
        <v>994</v>
      </c>
      <c r="J6" s="214">
        <v>950</v>
      </c>
      <c r="K6" s="214">
        <v>838</v>
      </c>
      <c r="L6" s="214">
        <v>927</v>
      </c>
      <c r="M6" s="214">
        <v>950</v>
      </c>
      <c r="N6" s="214">
        <v>952</v>
      </c>
      <c r="O6" s="214">
        <v>914</v>
      </c>
      <c r="P6" s="214">
        <v>978</v>
      </c>
      <c r="Q6" s="214">
        <v>989</v>
      </c>
      <c r="R6" s="214">
        <v>1029</v>
      </c>
      <c r="S6" s="214">
        <v>925</v>
      </c>
      <c r="T6" s="214">
        <v>924</v>
      </c>
      <c r="U6" s="214">
        <v>964</v>
      </c>
      <c r="V6" s="214">
        <v>937</v>
      </c>
      <c r="W6" s="214">
        <v>930</v>
      </c>
      <c r="X6" s="214">
        <v>981</v>
      </c>
      <c r="Y6" s="214">
        <v>924</v>
      </c>
      <c r="Z6" s="214">
        <v>920</v>
      </c>
      <c r="AA6" s="249">
        <v>669</v>
      </c>
      <c r="AB6" s="249">
        <v>760</v>
      </c>
      <c r="AC6" s="249">
        <v>724</v>
      </c>
      <c r="AD6" s="249">
        <v>751</v>
      </c>
      <c r="AE6" s="249">
        <v>868</v>
      </c>
      <c r="AF6" s="249">
        <v>794</v>
      </c>
      <c r="AG6" s="249">
        <v>708</v>
      </c>
      <c r="AH6" s="249">
        <v>720</v>
      </c>
      <c r="AI6" s="249">
        <v>651</v>
      </c>
      <c r="AJ6" s="249">
        <v>841</v>
      </c>
      <c r="AK6" s="249">
        <v>793</v>
      </c>
      <c r="AL6" s="249">
        <v>779</v>
      </c>
      <c r="AM6" s="249">
        <v>610</v>
      </c>
      <c r="AN6" s="249">
        <v>672</v>
      </c>
      <c r="AO6" s="249">
        <v>634</v>
      </c>
      <c r="AP6" s="249">
        <v>686</v>
      </c>
      <c r="AQ6" s="249">
        <v>564</v>
      </c>
      <c r="AR6" s="249">
        <v>577</v>
      </c>
      <c r="AS6" s="249">
        <v>393</v>
      </c>
      <c r="AT6" s="249">
        <v>352</v>
      </c>
      <c r="AU6" s="249">
        <v>524</v>
      </c>
      <c r="AV6" s="249">
        <v>656</v>
      </c>
      <c r="AW6" s="249">
        <v>659</v>
      </c>
      <c r="AX6" s="249">
        <v>688</v>
      </c>
      <c r="AY6" s="262">
        <v>518</v>
      </c>
      <c r="AZ6" s="249">
        <v>626</v>
      </c>
      <c r="BA6" s="249">
        <v>697</v>
      </c>
      <c r="BB6" s="291">
        <v>656</v>
      </c>
      <c r="BC6" s="213">
        <v>595</v>
      </c>
      <c r="BD6" s="214">
        <v>614</v>
      </c>
      <c r="BE6" s="214">
        <v>632</v>
      </c>
      <c r="BF6" s="259">
        <v>571</v>
      </c>
      <c r="BG6" s="213">
        <v>537</v>
      </c>
      <c r="BH6" s="214">
        <v>496</v>
      </c>
      <c r="BI6" s="249">
        <v>506</v>
      </c>
      <c r="BJ6" s="214">
        <v>516</v>
      </c>
      <c r="BK6" s="262">
        <v>531</v>
      </c>
      <c r="BL6" s="249">
        <v>536</v>
      </c>
      <c r="BM6" s="249">
        <v>551</v>
      </c>
      <c r="BN6" s="291">
        <v>519</v>
      </c>
      <c r="BO6" s="213">
        <v>500</v>
      </c>
      <c r="BP6" s="214">
        <v>450</v>
      </c>
      <c r="BQ6" s="249">
        <v>402</v>
      </c>
      <c r="BR6" s="214">
        <v>282</v>
      </c>
      <c r="BS6" s="213">
        <v>30</v>
      </c>
      <c r="BT6" s="214">
        <v>136</v>
      </c>
      <c r="BU6" s="214">
        <v>376</v>
      </c>
      <c r="BV6" s="259">
        <v>356</v>
      </c>
      <c r="BW6" s="214">
        <v>325</v>
      </c>
      <c r="BX6" s="214">
        <v>139</v>
      </c>
      <c r="BY6" s="214">
        <v>387</v>
      </c>
      <c r="BZ6" s="214">
        <v>373</v>
      </c>
      <c r="CA6" s="213">
        <v>338</v>
      </c>
      <c r="CB6" s="214">
        <v>376</v>
      </c>
      <c r="CC6" s="214">
        <v>432</v>
      </c>
      <c r="CD6" s="259">
        <v>328</v>
      </c>
      <c r="CE6" s="213">
        <v>236</v>
      </c>
      <c r="CF6" s="214">
        <v>0</v>
      </c>
      <c r="CG6" s="214">
        <v>290</v>
      </c>
      <c r="CH6" s="259">
        <v>313</v>
      </c>
      <c r="CI6" s="213">
        <v>353</v>
      </c>
      <c r="CJ6" s="214">
        <v>357</v>
      </c>
      <c r="CK6" s="214">
        <v>251</v>
      </c>
      <c r="CL6" s="259">
        <v>275</v>
      </c>
      <c r="CM6" s="213">
        <v>276</v>
      </c>
      <c r="CN6" s="214">
        <v>298</v>
      </c>
      <c r="CO6" s="214">
        <v>308</v>
      </c>
      <c r="CP6" s="259">
        <v>270</v>
      </c>
      <c r="CQ6" s="213">
        <v>240</v>
      </c>
      <c r="CR6" s="214">
        <v>282</v>
      </c>
      <c r="CS6" s="214">
        <v>296</v>
      </c>
      <c r="CT6" s="259">
        <v>242.345</v>
      </c>
      <c r="CU6" s="213">
        <v>235</v>
      </c>
      <c r="CV6" s="214">
        <v>271</v>
      </c>
      <c r="CW6" s="214"/>
      <c r="CX6" s="259"/>
    </row>
    <row r="7" spans="1:119" s="208" customFormat="1" x14ac:dyDescent="0.25">
      <c r="A7" s="225"/>
      <c r="B7" s="227" t="s">
        <v>53</v>
      </c>
      <c r="C7" s="214">
        <v>695</v>
      </c>
      <c r="D7" s="214">
        <v>803</v>
      </c>
      <c r="E7" s="214">
        <v>620</v>
      </c>
      <c r="F7" s="214">
        <v>442</v>
      </c>
      <c r="G7" s="214">
        <v>750</v>
      </c>
      <c r="H7" s="214">
        <v>660</v>
      </c>
      <c r="I7" s="214">
        <v>609</v>
      </c>
      <c r="J7" s="214">
        <v>608</v>
      </c>
      <c r="K7" s="214">
        <v>817</v>
      </c>
      <c r="L7" s="214">
        <v>695</v>
      </c>
      <c r="M7" s="214">
        <v>594</v>
      </c>
      <c r="N7" s="214">
        <v>695</v>
      </c>
      <c r="O7" s="214">
        <v>846</v>
      </c>
      <c r="P7" s="214">
        <v>765</v>
      </c>
      <c r="Q7" s="214">
        <v>625</v>
      </c>
      <c r="R7" s="214">
        <v>655</v>
      </c>
      <c r="S7" s="214">
        <v>906</v>
      </c>
      <c r="T7" s="214">
        <v>814</v>
      </c>
      <c r="U7" s="214">
        <v>739</v>
      </c>
      <c r="V7" s="214">
        <v>736</v>
      </c>
      <c r="W7" s="214">
        <v>704</v>
      </c>
      <c r="X7" s="214">
        <v>661</v>
      </c>
      <c r="Y7" s="214">
        <v>608</v>
      </c>
      <c r="Z7" s="214">
        <v>558</v>
      </c>
      <c r="AA7" s="249">
        <v>757</v>
      </c>
      <c r="AB7" s="249">
        <v>785</v>
      </c>
      <c r="AC7" s="249">
        <v>812</v>
      </c>
      <c r="AD7" s="249">
        <v>857</v>
      </c>
      <c r="AE7" s="249">
        <v>669</v>
      </c>
      <c r="AF7" s="249">
        <v>742</v>
      </c>
      <c r="AG7" s="249">
        <v>832</v>
      </c>
      <c r="AH7" s="249">
        <v>828</v>
      </c>
      <c r="AI7" s="249">
        <v>751</v>
      </c>
      <c r="AJ7" s="249">
        <v>753</v>
      </c>
      <c r="AK7" s="249">
        <v>728</v>
      </c>
      <c r="AL7" s="249">
        <v>703</v>
      </c>
      <c r="AM7" s="249">
        <v>866</v>
      </c>
      <c r="AN7" s="249">
        <v>810</v>
      </c>
      <c r="AO7" s="249">
        <v>942</v>
      </c>
      <c r="AP7" s="249">
        <v>927</v>
      </c>
      <c r="AQ7" s="249">
        <v>821</v>
      </c>
      <c r="AR7" s="249">
        <v>738</v>
      </c>
      <c r="AS7" s="249">
        <v>743</v>
      </c>
      <c r="AT7" s="249">
        <v>547</v>
      </c>
      <c r="AU7" s="249">
        <v>641</v>
      </c>
      <c r="AV7" s="249">
        <v>709</v>
      </c>
      <c r="AW7" s="249">
        <v>764</v>
      </c>
      <c r="AX7" s="249">
        <v>669</v>
      </c>
      <c r="AY7" s="262">
        <v>632</v>
      </c>
      <c r="AZ7" s="249">
        <v>713</v>
      </c>
      <c r="BA7" s="249">
        <v>732</v>
      </c>
      <c r="BB7" s="291">
        <v>790</v>
      </c>
      <c r="BC7" s="213">
        <v>805</v>
      </c>
      <c r="BD7" s="214">
        <v>791</v>
      </c>
      <c r="BE7" s="214">
        <v>873</v>
      </c>
      <c r="BF7" s="259">
        <v>891</v>
      </c>
      <c r="BG7" s="213">
        <v>953</v>
      </c>
      <c r="BH7" s="214">
        <v>946</v>
      </c>
      <c r="BI7" s="249">
        <v>1098</v>
      </c>
      <c r="BJ7" s="214">
        <v>919</v>
      </c>
      <c r="BK7" s="262">
        <v>845</v>
      </c>
      <c r="BL7" s="249">
        <v>997</v>
      </c>
      <c r="BM7" s="249">
        <v>1090</v>
      </c>
      <c r="BN7" s="291">
        <v>973</v>
      </c>
      <c r="BO7" s="213">
        <v>815</v>
      </c>
      <c r="BP7" s="214">
        <v>388</v>
      </c>
      <c r="BQ7" s="249">
        <v>180</v>
      </c>
      <c r="BR7" s="214">
        <v>126</v>
      </c>
      <c r="BS7" s="213">
        <v>8</v>
      </c>
      <c r="BT7" s="214">
        <v>0</v>
      </c>
      <c r="BU7" s="214">
        <v>0</v>
      </c>
      <c r="BV7" s="259">
        <v>0</v>
      </c>
      <c r="BW7" s="214">
        <v>0</v>
      </c>
      <c r="BX7" s="214">
        <v>0</v>
      </c>
      <c r="BY7" s="214">
        <v>0</v>
      </c>
      <c r="BZ7" s="214">
        <v>0</v>
      </c>
      <c r="CA7" s="213">
        <v>0</v>
      </c>
      <c r="CB7" s="214">
        <v>41</v>
      </c>
      <c r="CC7" s="214">
        <v>164</v>
      </c>
      <c r="CD7" s="259">
        <v>358</v>
      </c>
      <c r="CE7" s="213">
        <v>200</v>
      </c>
      <c r="CF7" s="214">
        <v>5</v>
      </c>
      <c r="CG7" s="214">
        <v>123</v>
      </c>
      <c r="CH7" s="259">
        <v>366</v>
      </c>
      <c r="CI7" s="213">
        <v>201</v>
      </c>
      <c r="CJ7" s="214">
        <v>23</v>
      </c>
      <c r="CK7" s="214">
        <v>13</v>
      </c>
      <c r="CL7" s="259">
        <v>21</v>
      </c>
      <c r="CM7" s="213">
        <v>21</v>
      </c>
      <c r="CN7" s="214">
        <v>25</v>
      </c>
      <c r="CO7" s="214">
        <v>4</v>
      </c>
      <c r="CP7" s="682">
        <v>0.21099999999999999</v>
      </c>
      <c r="CQ7" s="213">
        <v>1</v>
      </c>
      <c r="CR7" s="681">
        <v>0</v>
      </c>
      <c r="CS7" s="681">
        <v>0</v>
      </c>
      <c r="CT7" s="682">
        <v>0</v>
      </c>
      <c r="CU7" s="681">
        <v>0</v>
      </c>
      <c r="CV7" s="681">
        <v>62</v>
      </c>
      <c r="CW7" s="681"/>
      <c r="CX7" s="682"/>
    </row>
    <row r="8" spans="1:119" s="1" customFormat="1" x14ac:dyDescent="0.25">
      <c r="A8" s="306"/>
      <c r="B8" s="290" t="s">
        <v>54</v>
      </c>
      <c r="C8" s="66">
        <f>+C7+C6</f>
        <v>1653</v>
      </c>
      <c r="D8" s="66">
        <f t="shared" ref="D8:BN8" si="0">+D7+D6</f>
        <v>1694</v>
      </c>
      <c r="E8" s="66">
        <f t="shared" si="0"/>
        <v>1591</v>
      </c>
      <c r="F8" s="66">
        <f t="shared" si="0"/>
        <v>1447</v>
      </c>
      <c r="G8" s="66">
        <f t="shared" si="0"/>
        <v>1708</v>
      </c>
      <c r="H8" s="66">
        <f t="shared" si="0"/>
        <v>1624</v>
      </c>
      <c r="I8" s="66">
        <f t="shared" si="0"/>
        <v>1603</v>
      </c>
      <c r="J8" s="66">
        <f t="shared" si="0"/>
        <v>1558</v>
      </c>
      <c r="K8" s="66">
        <f t="shared" si="0"/>
        <v>1655</v>
      </c>
      <c r="L8" s="66">
        <f t="shared" si="0"/>
        <v>1622</v>
      </c>
      <c r="M8" s="66">
        <f t="shared" si="0"/>
        <v>1544</v>
      </c>
      <c r="N8" s="66">
        <f t="shared" si="0"/>
        <v>1647</v>
      </c>
      <c r="O8" s="66">
        <f t="shared" si="0"/>
        <v>1760</v>
      </c>
      <c r="P8" s="66">
        <f t="shared" si="0"/>
        <v>1743</v>
      </c>
      <c r="Q8" s="66">
        <f t="shared" si="0"/>
        <v>1614</v>
      </c>
      <c r="R8" s="66">
        <f t="shared" si="0"/>
        <v>1684</v>
      </c>
      <c r="S8" s="66">
        <f t="shared" si="0"/>
        <v>1831</v>
      </c>
      <c r="T8" s="66">
        <f t="shared" si="0"/>
        <v>1738</v>
      </c>
      <c r="U8" s="66">
        <f t="shared" si="0"/>
        <v>1703</v>
      </c>
      <c r="V8" s="66">
        <f t="shared" si="0"/>
        <v>1673</v>
      </c>
      <c r="W8" s="66">
        <f t="shared" si="0"/>
        <v>1634</v>
      </c>
      <c r="X8" s="66">
        <f t="shared" si="0"/>
        <v>1642</v>
      </c>
      <c r="Y8" s="66">
        <f t="shared" si="0"/>
        <v>1532</v>
      </c>
      <c r="Z8" s="66">
        <f t="shared" si="0"/>
        <v>1478</v>
      </c>
      <c r="AA8" s="63">
        <f t="shared" si="0"/>
        <v>1426</v>
      </c>
      <c r="AB8" s="63">
        <f t="shared" si="0"/>
        <v>1545</v>
      </c>
      <c r="AC8" s="63">
        <f t="shared" si="0"/>
        <v>1536</v>
      </c>
      <c r="AD8" s="63">
        <f t="shared" si="0"/>
        <v>1608</v>
      </c>
      <c r="AE8" s="63">
        <f t="shared" si="0"/>
        <v>1537</v>
      </c>
      <c r="AF8" s="63">
        <f t="shared" si="0"/>
        <v>1536</v>
      </c>
      <c r="AG8" s="63">
        <f t="shared" si="0"/>
        <v>1540</v>
      </c>
      <c r="AH8" s="63">
        <f t="shared" si="0"/>
        <v>1548</v>
      </c>
      <c r="AI8" s="63">
        <f t="shared" si="0"/>
        <v>1402</v>
      </c>
      <c r="AJ8" s="63">
        <f t="shared" si="0"/>
        <v>1594</v>
      </c>
      <c r="AK8" s="63">
        <f t="shared" si="0"/>
        <v>1521</v>
      </c>
      <c r="AL8" s="63">
        <f t="shared" si="0"/>
        <v>1482</v>
      </c>
      <c r="AM8" s="63">
        <f t="shared" si="0"/>
        <v>1476</v>
      </c>
      <c r="AN8" s="63">
        <f t="shared" si="0"/>
        <v>1482</v>
      </c>
      <c r="AO8" s="63">
        <f t="shared" si="0"/>
        <v>1576</v>
      </c>
      <c r="AP8" s="63">
        <f t="shared" si="0"/>
        <v>1613</v>
      </c>
      <c r="AQ8" s="63">
        <f t="shared" si="0"/>
        <v>1385</v>
      </c>
      <c r="AR8" s="63">
        <f t="shared" si="0"/>
        <v>1315</v>
      </c>
      <c r="AS8" s="63">
        <f t="shared" si="0"/>
        <v>1136</v>
      </c>
      <c r="AT8" s="63">
        <f t="shared" si="0"/>
        <v>899</v>
      </c>
      <c r="AU8" s="63">
        <f t="shared" si="0"/>
        <v>1165</v>
      </c>
      <c r="AV8" s="63">
        <f t="shared" si="0"/>
        <v>1365</v>
      </c>
      <c r="AW8" s="63">
        <f t="shared" si="0"/>
        <v>1423</v>
      </c>
      <c r="AX8" s="63">
        <f t="shared" si="0"/>
        <v>1357</v>
      </c>
      <c r="AY8" s="62">
        <f t="shared" si="0"/>
        <v>1150</v>
      </c>
      <c r="AZ8" s="63">
        <f t="shared" si="0"/>
        <v>1339</v>
      </c>
      <c r="BA8" s="63">
        <f t="shared" si="0"/>
        <v>1429</v>
      </c>
      <c r="BB8" s="64">
        <f t="shared" si="0"/>
        <v>1446</v>
      </c>
      <c r="BC8" s="65">
        <f t="shared" si="0"/>
        <v>1400</v>
      </c>
      <c r="BD8" s="66">
        <f t="shared" si="0"/>
        <v>1405</v>
      </c>
      <c r="BE8" s="66">
        <f t="shared" si="0"/>
        <v>1505</v>
      </c>
      <c r="BF8" s="67">
        <f t="shared" si="0"/>
        <v>1462</v>
      </c>
      <c r="BG8" s="65">
        <f t="shared" si="0"/>
        <v>1490</v>
      </c>
      <c r="BH8" s="66">
        <f t="shared" si="0"/>
        <v>1442</v>
      </c>
      <c r="BI8" s="66">
        <f t="shared" si="0"/>
        <v>1604</v>
      </c>
      <c r="BJ8" s="66">
        <f t="shared" si="0"/>
        <v>1435</v>
      </c>
      <c r="BK8" s="109">
        <f t="shared" si="0"/>
        <v>1376</v>
      </c>
      <c r="BL8" s="110">
        <f t="shared" si="0"/>
        <v>1533</v>
      </c>
      <c r="BM8" s="110">
        <f t="shared" si="0"/>
        <v>1641</v>
      </c>
      <c r="BN8" s="111">
        <f t="shared" si="0"/>
        <v>1492</v>
      </c>
      <c r="BO8" s="109">
        <f t="shared" ref="BO8:BV8" si="1">+BO7+BO6</f>
        <v>1315</v>
      </c>
      <c r="BP8" s="110">
        <f t="shared" si="1"/>
        <v>838</v>
      </c>
      <c r="BQ8" s="189">
        <f t="shared" si="1"/>
        <v>582</v>
      </c>
      <c r="BR8" s="110">
        <f t="shared" si="1"/>
        <v>408</v>
      </c>
      <c r="BS8" s="109">
        <f t="shared" si="1"/>
        <v>38</v>
      </c>
      <c r="BT8" s="110">
        <f t="shared" si="1"/>
        <v>136</v>
      </c>
      <c r="BU8" s="110">
        <f t="shared" si="1"/>
        <v>376</v>
      </c>
      <c r="BV8" s="111">
        <f t="shared" si="1"/>
        <v>356</v>
      </c>
      <c r="BW8" s="110">
        <f t="shared" ref="BW8:BX8" si="2">+BW7+BW6</f>
        <v>325</v>
      </c>
      <c r="BX8" s="110">
        <f t="shared" si="2"/>
        <v>139</v>
      </c>
      <c r="BY8" s="110">
        <f t="shared" ref="BY8:BZ8" si="3">+BY7+BY6</f>
        <v>387</v>
      </c>
      <c r="BZ8" s="110">
        <f t="shared" si="3"/>
        <v>373</v>
      </c>
      <c r="CA8" s="109">
        <f t="shared" ref="CA8:CB8" si="4">+CA7+CA6</f>
        <v>338</v>
      </c>
      <c r="CB8" s="110">
        <f t="shared" si="4"/>
        <v>417</v>
      </c>
      <c r="CC8" s="110">
        <f t="shared" ref="CC8:CF8" si="5">+CC7+CC6</f>
        <v>596</v>
      </c>
      <c r="CD8" s="111">
        <f t="shared" si="5"/>
        <v>686</v>
      </c>
      <c r="CE8" s="109">
        <f t="shared" si="5"/>
        <v>436</v>
      </c>
      <c r="CF8" s="110">
        <f t="shared" si="5"/>
        <v>5</v>
      </c>
      <c r="CG8" s="110">
        <f t="shared" ref="CG8:CJ8" si="6">+CG7+CG6</f>
        <v>413</v>
      </c>
      <c r="CH8" s="111">
        <f t="shared" si="6"/>
        <v>679</v>
      </c>
      <c r="CI8" s="109">
        <f t="shared" si="6"/>
        <v>554</v>
      </c>
      <c r="CJ8" s="110">
        <f t="shared" si="6"/>
        <v>380</v>
      </c>
      <c r="CK8" s="110">
        <f t="shared" ref="CK8:CP8" si="7">+CK7+CK6</f>
        <v>264</v>
      </c>
      <c r="CL8" s="111">
        <f t="shared" si="7"/>
        <v>296</v>
      </c>
      <c r="CM8" s="109">
        <f t="shared" si="7"/>
        <v>297</v>
      </c>
      <c r="CN8" s="110">
        <f t="shared" si="7"/>
        <v>323</v>
      </c>
      <c r="CO8" s="110">
        <f t="shared" si="7"/>
        <v>312</v>
      </c>
      <c r="CP8" s="111">
        <f t="shared" si="7"/>
        <v>270.21100000000001</v>
      </c>
      <c r="CQ8" s="109">
        <f t="shared" ref="CQ8:CT8" si="8">+CQ7+CQ6</f>
        <v>241</v>
      </c>
      <c r="CR8" s="110">
        <f t="shared" si="8"/>
        <v>282</v>
      </c>
      <c r="CS8" s="110">
        <f t="shared" si="8"/>
        <v>296</v>
      </c>
      <c r="CT8" s="111">
        <f t="shared" si="8"/>
        <v>242.345</v>
      </c>
      <c r="CU8" s="109">
        <f t="shared" ref="CU8:CX8" si="9">+CU7+CU6</f>
        <v>235</v>
      </c>
      <c r="CV8" s="110">
        <f t="shared" si="9"/>
        <v>333</v>
      </c>
      <c r="CW8" s="110">
        <f t="shared" si="9"/>
        <v>0</v>
      </c>
      <c r="CX8" s="111">
        <f t="shared" si="9"/>
        <v>0</v>
      </c>
      <c r="CY8" s="347"/>
      <c r="CZ8" s="347"/>
      <c r="DA8" s="347"/>
      <c r="DB8" s="347"/>
      <c r="DC8" s="347"/>
      <c r="DD8" s="347"/>
      <c r="DE8" s="347"/>
      <c r="DF8" s="347"/>
      <c r="DG8" s="347"/>
      <c r="DH8" s="347"/>
      <c r="DI8" s="347"/>
      <c r="DJ8" s="347"/>
      <c r="DK8" s="347"/>
      <c r="DL8" s="347"/>
      <c r="DM8" s="347"/>
      <c r="DN8" s="347"/>
      <c r="DO8" s="347"/>
    </row>
    <row r="9" spans="1:119" s="208" customFormat="1" x14ac:dyDescent="0.25">
      <c r="A9" s="225"/>
      <c r="B9" s="296" t="s">
        <v>55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49"/>
      <c r="AT9" s="249"/>
      <c r="AU9" s="249"/>
      <c r="AV9" s="249"/>
      <c r="AW9" s="249"/>
      <c r="AX9" s="249"/>
      <c r="AY9" s="262"/>
      <c r="AZ9" s="249"/>
      <c r="BA9" s="249"/>
      <c r="BB9" s="291"/>
      <c r="BC9" s="213"/>
      <c r="BD9" s="214"/>
      <c r="BE9" s="214"/>
      <c r="BF9" s="259"/>
      <c r="BG9" s="213"/>
      <c r="BH9" s="214"/>
      <c r="BI9" s="249"/>
      <c r="BK9" s="225"/>
      <c r="BN9" s="227"/>
      <c r="BO9" s="288"/>
      <c r="BS9" s="225"/>
      <c r="BV9" s="227"/>
      <c r="BW9" s="225"/>
      <c r="CA9" s="225"/>
      <c r="CD9" s="227"/>
      <c r="CE9" s="225"/>
      <c r="CH9" s="227"/>
      <c r="CI9" s="225"/>
      <c r="CL9" s="227"/>
      <c r="CM9" s="225"/>
      <c r="CP9" s="227"/>
      <c r="CQ9" s="225"/>
      <c r="CT9" s="227"/>
      <c r="CU9" s="225"/>
      <c r="CX9" s="227"/>
    </row>
    <row r="10" spans="1:119" s="208" customFormat="1" x14ac:dyDescent="0.25">
      <c r="A10" s="225"/>
      <c r="B10" s="227" t="s">
        <v>52</v>
      </c>
      <c r="C10" s="297">
        <f>+C14/C6</f>
        <v>9</v>
      </c>
      <c r="D10" s="297">
        <v>10.5</v>
      </c>
      <c r="E10" s="297">
        <v>9.1999999999999993</v>
      </c>
      <c r="F10" s="297">
        <v>8.6</v>
      </c>
      <c r="G10" s="297">
        <v>7.8</v>
      </c>
      <c r="H10" s="297">
        <v>8.1</v>
      </c>
      <c r="I10" s="297">
        <v>8.1</v>
      </c>
      <c r="J10" s="297">
        <v>7.5</v>
      </c>
      <c r="K10" s="297">
        <v>8.6</v>
      </c>
      <c r="L10" s="297">
        <v>8.5</v>
      </c>
      <c r="M10" s="297">
        <v>8.1</v>
      </c>
      <c r="N10" s="297">
        <v>8.1</v>
      </c>
      <c r="O10" s="297">
        <v>8.9</v>
      </c>
      <c r="P10" s="297">
        <v>8.3000000000000007</v>
      </c>
      <c r="Q10" s="297">
        <v>8.1</v>
      </c>
      <c r="R10" s="297">
        <v>7.9</v>
      </c>
      <c r="S10" s="297">
        <v>7.9</v>
      </c>
      <c r="T10" s="297">
        <v>8.6999999999999993</v>
      </c>
      <c r="U10" s="297">
        <v>7.5</v>
      </c>
      <c r="V10" s="297">
        <v>7.5</v>
      </c>
      <c r="W10" s="297">
        <v>7.6</v>
      </c>
      <c r="X10" s="297">
        <v>7.6</v>
      </c>
      <c r="Y10" s="297">
        <v>8.1999999999999993</v>
      </c>
      <c r="Z10" s="297">
        <v>7.7</v>
      </c>
      <c r="AA10" s="298">
        <v>8.6</v>
      </c>
      <c r="AB10" s="298">
        <v>8.1999999999999993</v>
      </c>
      <c r="AC10" s="298">
        <v>8.1</v>
      </c>
      <c r="AD10" s="298">
        <v>7.4</v>
      </c>
      <c r="AE10" s="298">
        <v>7.1</v>
      </c>
      <c r="AF10" s="298">
        <v>7.6</v>
      </c>
      <c r="AG10" s="298">
        <v>7.3</v>
      </c>
      <c r="AH10" s="298">
        <v>7.2</v>
      </c>
      <c r="AI10" s="298">
        <v>6.2</v>
      </c>
      <c r="AJ10" s="298">
        <v>6.1</v>
      </c>
      <c r="AK10" s="298">
        <v>6.8</v>
      </c>
      <c r="AL10" s="298">
        <v>6.7</v>
      </c>
      <c r="AM10" s="298">
        <v>6.2</v>
      </c>
      <c r="AN10" s="298">
        <v>5.4</v>
      </c>
      <c r="AO10" s="298">
        <v>5.6</v>
      </c>
      <c r="AP10" s="298">
        <v>5.8</v>
      </c>
      <c r="AQ10" s="298">
        <v>5.9</v>
      </c>
      <c r="AR10" s="298">
        <v>6.4</v>
      </c>
      <c r="AS10" s="298">
        <f t="shared" ref="AS10:BH12" si="10">+AS14/AS6</f>
        <v>5.7684478371501271</v>
      </c>
      <c r="AT10" s="298">
        <f t="shared" si="10"/>
        <v>5.40625</v>
      </c>
      <c r="AU10" s="298">
        <f t="shared" si="10"/>
        <v>6.5820610687022905</v>
      </c>
      <c r="AV10" s="298">
        <f t="shared" si="10"/>
        <v>6.086890243902439</v>
      </c>
      <c r="AW10" s="298">
        <f t="shared" si="10"/>
        <v>7.4081942336874054</v>
      </c>
      <c r="AX10" s="298">
        <f t="shared" si="10"/>
        <v>6.6904069767441863</v>
      </c>
      <c r="AY10" s="299">
        <f t="shared" si="10"/>
        <v>7.1467181467181469</v>
      </c>
      <c r="AZ10" s="298">
        <f t="shared" si="10"/>
        <v>6.3785942492012779</v>
      </c>
      <c r="BA10" s="298">
        <f t="shared" si="10"/>
        <v>6.4045911047345765</v>
      </c>
      <c r="BB10" s="300">
        <f t="shared" si="10"/>
        <v>6.3567073170731705</v>
      </c>
      <c r="BC10" s="301">
        <f t="shared" si="10"/>
        <v>5.715966386554622</v>
      </c>
      <c r="BD10" s="297">
        <f t="shared" si="10"/>
        <v>6.3534201954397398</v>
      </c>
      <c r="BE10" s="297">
        <f t="shared" si="10"/>
        <v>6.4382911392405067</v>
      </c>
      <c r="BF10" s="302">
        <f t="shared" si="10"/>
        <v>6.9597197898423815</v>
      </c>
      <c r="BG10" s="301">
        <f t="shared" si="10"/>
        <v>6.1787709497206702</v>
      </c>
      <c r="BH10" s="297">
        <f t="shared" si="10"/>
        <v>6.842741935483871</v>
      </c>
      <c r="BI10" s="297">
        <f t="shared" ref="BI10:BR10" si="11">+BI14/BI6</f>
        <v>6.8537549407114629</v>
      </c>
      <c r="BJ10" s="297">
        <f t="shared" si="11"/>
        <v>7.2480620155038764</v>
      </c>
      <c r="BK10" s="301">
        <f t="shared" si="11"/>
        <v>5.7212806026365346</v>
      </c>
      <c r="BL10" s="297">
        <f t="shared" si="11"/>
        <v>6.7891791044776122</v>
      </c>
      <c r="BM10" s="297">
        <f t="shared" si="11"/>
        <v>6</v>
      </c>
      <c r="BN10" s="302">
        <f t="shared" si="11"/>
        <v>6.3179190751445082</v>
      </c>
      <c r="BO10" s="301">
        <f t="shared" si="11"/>
        <v>5.6660000000000004</v>
      </c>
      <c r="BP10" s="297">
        <f t="shared" si="11"/>
        <v>5.5911111111111111</v>
      </c>
      <c r="BQ10" s="298">
        <f t="shared" si="11"/>
        <v>5.378109452736318</v>
      </c>
      <c r="BR10" s="297">
        <f t="shared" si="11"/>
        <v>5.1099290780141846</v>
      </c>
      <c r="BS10" s="301">
        <f>+BS14/BS6+0.01</f>
        <v>3.01</v>
      </c>
      <c r="BT10" s="297">
        <f>+BT14/BT6</f>
        <v>4.4044117647058822</v>
      </c>
      <c r="BU10" s="297">
        <f>+BU14/BU6</f>
        <v>5.5106382978723403</v>
      </c>
      <c r="BV10" s="302">
        <f>+BV14/BV6</f>
        <v>6.713483146067416</v>
      </c>
      <c r="BW10" s="297">
        <v>5.77</v>
      </c>
      <c r="BX10" s="297">
        <v>7.08</v>
      </c>
      <c r="BY10" s="297">
        <v>6.26</v>
      </c>
      <c r="BZ10" s="297">
        <v>6.72</v>
      </c>
      <c r="CA10" s="301">
        <v>6.57</v>
      </c>
      <c r="CB10" s="297">
        <v>5.82</v>
      </c>
      <c r="CC10" s="297">
        <v>5.72</v>
      </c>
      <c r="CD10" s="302">
        <v>6.51</v>
      </c>
      <c r="CE10" s="301">
        <f t="shared" ref="CE10" si="12">+CE14/CE6</f>
        <v>5.9491525423728815</v>
      </c>
      <c r="CF10" s="297">
        <v>0</v>
      </c>
      <c r="CG10" s="297">
        <v>5.65</v>
      </c>
      <c r="CH10" s="302">
        <v>4.8600000000000003</v>
      </c>
      <c r="CI10" s="301">
        <f>+CI14/CI6+0.01</f>
        <v>5.2337960339943344</v>
      </c>
      <c r="CJ10" s="297">
        <f>+CJ14/CJ6</f>
        <v>5.7142857142857144</v>
      </c>
      <c r="CK10" s="297">
        <v>5.77</v>
      </c>
      <c r="CL10" s="302">
        <v>6.5</v>
      </c>
      <c r="CM10" s="301">
        <v>5.62</v>
      </c>
      <c r="CN10" s="297">
        <v>6.54</v>
      </c>
      <c r="CO10" s="297">
        <v>6.07</v>
      </c>
      <c r="CP10" s="302">
        <v>5.91</v>
      </c>
      <c r="CQ10" s="301">
        <v>5.73</v>
      </c>
      <c r="CR10" s="297">
        <v>6.43</v>
      </c>
      <c r="CS10" s="297">
        <v>7.66</v>
      </c>
      <c r="CT10" s="302">
        <v>7.27</v>
      </c>
      <c r="CU10" s="301">
        <v>5.72</v>
      </c>
      <c r="CV10" s="297">
        <v>6.5</v>
      </c>
      <c r="CW10" s="297"/>
      <c r="CX10" s="302"/>
    </row>
    <row r="11" spans="1:119" s="208" customFormat="1" x14ac:dyDescent="0.25">
      <c r="A11" s="225"/>
      <c r="B11" s="227" t="s">
        <v>53</v>
      </c>
      <c r="C11" s="297">
        <f>+C15/C7</f>
        <v>2.1899280575539568</v>
      </c>
      <c r="D11" s="297">
        <v>2</v>
      </c>
      <c r="E11" s="297">
        <v>2.2000000000000002</v>
      </c>
      <c r="F11" s="297">
        <v>3.3</v>
      </c>
      <c r="G11" s="297">
        <v>2.2999999999999998</v>
      </c>
      <c r="H11" s="297">
        <v>1.6</v>
      </c>
      <c r="I11" s="297">
        <v>1.6</v>
      </c>
      <c r="J11" s="297">
        <v>2.2999999999999998</v>
      </c>
      <c r="K11" s="297">
        <v>2.2000000000000002</v>
      </c>
      <c r="L11" s="297">
        <v>1.7</v>
      </c>
      <c r="M11" s="297">
        <v>1.8</v>
      </c>
      <c r="N11" s="297">
        <v>1.8</v>
      </c>
      <c r="O11" s="297">
        <v>1.2</v>
      </c>
      <c r="P11" s="297">
        <v>1.5</v>
      </c>
      <c r="Q11" s="297">
        <v>1.6</v>
      </c>
      <c r="R11" s="297">
        <v>1.4</v>
      </c>
      <c r="S11" s="297">
        <v>1.7</v>
      </c>
      <c r="T11" s="297">
        <v>1</v>
      </c>
      <c r="U11" s="297">
        <v>1.1000000000000001</v>
      </c>
      <c r="V11" s="297">
        <v>0.9</v>
      </c>
      <c r="W11" s="297">
        <v>1</v>
      </c>
      <c r="X11" s="297">
        <v>1</v>
      </c>
      <c r="Y11" s="297">
        <v>0.8</v>
      </c>
      <c r="Z11" s="297">
        <v>0.7</v>
      </c>
      <c r="AA11" s="298">
        <v>1.1000000000000001</v>
      </c>
      <c r="AB11" s="298">
        <v>0.7</v>
      </c>
      <c r="AC11" s="298">
        <v>0.7</v>
      </c>
      <c r="AD11" s="298">
        <v>0.6</v>
      </c>
      <c r="AE11" s="298">
        <v>0.8</v>
      </c>
      <c r="AF11" s="298">
        <v>0.8</v>
      </c>
      <c r="AG11" s="298">
        <v>0.9</v>
      </c>
      <c r="AH11" s="298">
        <v>0.8</v>
      </c>
      <c r="AI11" s="298">
        <v>0.7</v>
      </c>
      <c r="AJ11" s="298">
        <v>0.9</v>
      </c>
      <c r="AK11" s="298">
        <v>0.9</v>
      </c>
      <c r="AL11" s="298">
        <v>0.7</v>
      </c>
      <c r="AM11" s="298">
        <v>0.8</v>
      </c>
      <c r="AN11" s="298">
        <v>0.7</v>
      </c>
      <c r="AO11" s="298">
        <v>0.8</v>
      </c>
      <c r="AP11" s="298">
        <v>0.8</v>
      </c>
      <c r="AQ11" s="298">
        <v>1</v>
      </c>
      <c r="AR11" s="298">
        <v>0.8</v>
      </c>
      <c r="AS11" s="298">
        <f t="shared" si="10"/>
        <v>0.97711978465679672</v>
      </c>
      <c r="AT11" s="298">
        <f t="shared" si="10"/>
        <v>0.65996343692870196</v>
      </c>
      <c r="AU11" s="298">
        <f t="shared" si="10"/>
        <v>0.76287051482059287</v>
      </c>
      <c r="AV11" s="298">
        <f t="shared" si="10"/>
        <v>0.7066290550070522</v>
      </c>
      <c r="AW11" s="298">
        <f t="shared" si="10"/>
        <v>0.54450261780104714</v>
      </c>
      <c r="AX11" s="298">
        <f t="shared" si="10"/>
        <v>0.66068759342301941</v>
      </c>
      <c r="AY11" s="299">
        <f t="shared" si="10"/>
        <v>0.58544303797468356</v>
      </c>
      <c r="AZ11" s="298">
        <f t="shared" si="10"/>
        <v>0.44460028050490885</v>
      </c>
      <c r="BA11" s="298">
        <f t="shared" si="10"/>
        <v>0.44125683060109289</v>
      </c>
      <c r="BB11" s="300">
        <f t="shared" si="10"/>
        <v>0.50126582278481013</v>
      </c>
      <c r="BC11" s="301">
        <f t="shared" si="10"/>
        <v>0.65714285714285714</v>
      </c>
      <c r="BD11" s="297">
        <f t="shared" si="10"/>
        <v>0.53855878634639698</v>
      </c>
      <c r="BE11" s="297">
        <f t="shared" si="10"/>
        <v>0.60939289805269192</v>
      </c>
      <c r="BF11" s="302">
        <f t="shared" si="10"/>
        <v>0.58136924803591472</v>
      </c>
      <c r="BG11" s="301">
        <f t="shared" si="10"/>
        <v>0.56768100734522564</v>
      </c>
      <c r="BH11" s="297">
        <f t="shared" si="10"/>
        <v>0.65539112050739956</v>
      </c>
      <c r="BI11" s="297">
        <f t="shared" ref="BI11:BR11" si="13">+BI15/BI7</f>
        <v>0.50091074681238612</v>
      </c>
      <c r="BJ11" s="297">
        <f t="shared" si="13"/>
        <v>0.54298150163220893</v>
      </c>
      <c r="BK11" s="301">
        <f t="shared" si="13"/>
        <v>0.5609467455621302</v>
      </c>
      <c r="BL11" s="297">
        <f t="shared" si="13"/>
        <v>0.45436308926780339</v>
      </c>
      <c r="BM11" s="297">
        <f t="shared" si="13"/>
        <v>0.40183486238532112</v>
      </c>
      <c r="BN11" s="302">
        <f t="shared" si="13"/>
        <v>0.38746145940390547</v>
      </c>
      <c r="BO11" s="301">
        <f t="shared" si="13"/>
        <v>0.29202453987730059</v>
      </c>
      <c r="BP11" s="297">
        <f t="shared" si="13"/>
        <v>0.52319587628865982</v>
      </c>
      <c r="BQ11" s="298">
        <f t="shared" si="13"/>
        <v>0.61111111111111116</v>
      </c>
      <c r="BR11" s="297">
        <f t="shared" si="13"/>
        <v>0.55555555555555558</v>
      </c>
      <c r="BS11" s="301">
        <f>+BS15/BS7</f>
        <v>0.375</v>
      </c>
      <c r="BT11" s="297">
        <v>0</v>
      </c>
      <c r="BU11" s="297">
        <v>0</v>
      </c>
      <c r="BV11" s="302">
        <v>0</v>
      </c>
      <c r="BW11" s="297">
        <v>0</v>
      </c>
      <c r="BX11" s="297">
        <v>0</v>
      </c>
      <c r="BY11" s="297">
        <v>0</v>
      </c>
      <c r="BZ11" s="297">
        <v>0</v>
      </c>
      <c r="CA11" s="301">
        <v>0</v>
      </c>
      <c r="CB11" s="297">
        <v>0.37</v>
      </c>
      <c r="CC11" s="297">
        <v>0.41</v>
      </c>
      <c r="CD11" s="302">
        <v>0.47</v>
      </c>
      <c r="CE11" s="301">
        <f t="shared" ref="CE11" si="14">+CE15/CE7</f>
        <v>0.39500000000000002</v>
      </c>
      <c r="CF11" s="297">
        <v>0</v>
      </c>
      <c r="CG11" s="297">
        <v>0.41</v>
      </c>
      <c r="CH11" s="302">
        <v>0.52</v>
      </c>
      <c r="CI11" s="301">
        <f t="shared" ref="CI11:CJ11" si="15">+CI15/CI7</f>
        <v>0.29353233830845771</v>
      </c>
      <c r="CJ11" s="297">
        <f t="shared" si="15"/>
        <v>0.65217391304347827</v>
      </c>
      <c r="CK11" s="297">
        <v>3.37</v>
      </c>
      <c r="CL11" s="302">
        <v>0.78</v>
      </c>
      <c r="CM11" s="301">
        <v>0.56999999999999995</v>
      </c>
      <c r="CN11" s="297">
        <v>1.44</v>
      </c>
      <c r="CO11" s="297">
        <v>0.26</v>
      </c>
      <c r="CP11" s="589">
        <v>4.74</v>
      </c>
      <c r="CQ11" s="693">
        <v>0</v>
      </c>
      <c r="CR11" s="681">
        <v>0</v>
      </c>
      <c r="CS11" s="681">
        <v>0</v>
      </c>
      <c r="CT11" s="697">
        <v>0</v>
      </c>
      <c r="CU11" s="693">
        <v>0</v>
      </c>
      <c r="CV11" s="691">
        <v>0.26</v>
      </c>
      <c r="CW11" s="681"/>
      <c r="CX11" s="697"/>
    </row>
    <row r="12" spans="1:119" s="1" customFormat="1" x14ac:dyDescent="0.25">
      <c r="A12" s="306"/>
      <c r="B12" s="290" t="s">
        <v>56</v>
      </c>
      <c r="C12" s="72">
        <f>+C16/C8</f>
        <v>6.1367211131276465</v>
      </c>
      <c r="D12" s="72">
        <v>6.5</v>
      </c>
      <c r="E12" s="72">
        <v>6.4</v>
      </c>
      <c r="F12" s="72">
        <v>7</v>
      </c>
      <c r="G12" s="72">
        <v>5.4</v>
      </c>
      <c r="H12" s="72">
        <v>5.5</v>
      </c>
      <c r="I12" s="72">
        <v>5.6</v>
      </c>
      <c r="J12" s="72">
        <v>5.4</v>
      </c>
      <c r="K12" s="72">
        <v>5.4</v>
      </c>
      <c r="L12" s="72">
        <v>5.6</v>
      </c>
      <c r="M12" s="72">
        <v>5.7</v>
      </c>
      <c r="N12" s="72">
        <v>5.4</v>
      </c>
      <c r="O12" s="72">
        <v>5.2</v>
      </c>
      <c r="P12" s="72">
        <v>6</v>
      </c>
      <c r="Q12" s="72">
        <v>5.6</v>
      </c>
      <c r="R12" s="72">
        <v>5.4</v>
      </c>
      <c r="S12" s="72">
        <v>4.8</v>
      </c>
      <c r="T12" s="72">
        <v>5.0999999999999996</v>
      </c>
      <c r="U12" s="72">
        <v>4.7</v>
      </c>
      <c r="V12" s="72">
        <v>4.5999999999999996</v>
      </c>
      <c r="W12" s="72">
        <v>4.8</v>
      </c>
      <c r="X12" s="72">
        <v>4.9000000000000004</v>
      </c>
      <c r="Y12" s="72">
        <v>5.3</v>
      </c>
      <c r="Z12" s="72">
        <v>5</v>
      </c>
      <c r="AA12" s="69">
        <v>4.5999999999999996</v>
      </c>
      <c r="AB12" s="69">
        <v>4.4000000000000004</v>
      </c>
      <c r="AC12" s="69">
        <v>4.2</v>
      </c>
      <c r="AD12" s="69">
        <v>3.8</v>
      </c>
      <c r="AE12" s="69">
        <v>4.4000000000000004</v>
      </c>
      <c r="AF12" s="69">
        <v>4.3</v>
      </c>
      <c r="AG12" s="69">
        <v>3.8</v>
      </c>
      <c r="AH12" s="69">
        <v>3.8</v>
      </c>
      <c r="AI12" s="69">
        <v>3.3</v>
      </c>
      <c r="AJ12" s="69">
        <v>3.6</v>
      </c>
      <c r="AK12" s="69">
        <v>4</v>
      </c>
      <c r="AL12" s="69">
        <v>3.9</v>
      </c>
      <c r="AM12" s="69">
        <v>3</v>
      </c>
      <c r="AN12" s="69">
        <v>2.8</v>
      </c>
      <c r="AO12" s="69">
        <v>2.8</v>
      </c>
      <c r="AP12" s="69">
        <v>2.9</v>
      </c>
      <c r="AQ12" s="69">
        <v>3</v>
      </c>
      <c r="AR12" s="69">
        <v>3.3</v>
      </c>
      <c r="AS12" s="69">
        <f t="shared" si="10"/>
        <v>2.6346830985915495</v>
      </c>
      <c r="AT12" s="69">
        <f t="shared" si="10"/>
        <v>2.518353726362625</v>
      </c>
      <c r="AU12" s="69">
        <f t="shared" si="10"/>
        <v>3.3802575107296136</v>
      </c>
      <c r="AV12" s="69">
        <f t="shared" si="10"/>
        <v>3.2923076923076922</v>
      </c>
      <c r="AW12" s="69">
        <f t="shared" si="10"/>
        <v>3.7231201686577653</v>
      </c>
      <c r="AX12" s="69">
        <f t="shared" si="10"/>
        <v>3.7177597641857036</v>
      </c>
      <c r="AY12" s="68">
        <f t="shared" si="10"/>
        <v>3.5408695652173914</v>
      </c>
      <c r="AZ12" s="69">
        <f t="shared" si="10"/>
        <v>3.2188200149365196</v>
      </c>
      <c r="BA12" s="69">
        <f t="shared" si="10"/>
        <v>3.3498950314905529</v>
      </c>
      <c r="BB12" s="70">
        <f t="shared" si="10"/>
        <v>3.1576763485477177</v>
      </c>
      <c r="BC12" s="71">
        <f t="shared" si="10"/>
        <v>2.8071428571428569</v>
      </c>
      <c r="BD12" s="72">
        <f t="shared" si="10"/>
        <v>3.079715302491103</v>
      </c>
      <c r="BE12" s="72">
        <f t="shared" si="10"/>
        <v>3.0571428571428569</v>
      </c>
      <c r="BF12" s="73">
        <f t="shared" si="10"/>
        <v>3.0725034199726404</v>
      </c>
      <c r="BG12" s="71">
        <f t="shared" si="10"/>
        <v>2.5899328859060402</v>
      </c>
      <c r="BH12" s="72">
        <f t="shared" si="10"/>
        <v>2.7836338418862692</v>
      </c>
      <c r="BI12" s="72">
        <f t="shared" ref="BI12:BR12" si="16">+BI16/BI8</f>
        <v>2.5049875311720697</v>
      </c>
      <c r="BJ12" s="72">
        <f t="shared" si="16"/>
        <v>2.954006968641115</v>
      </c>
      <c r="BK12" s="112">
        <f t="shared" si="16"/>
        <v>2.5523255813953489</v>
      </c>
      <c r="BL12" s="113">
        <f t="shared" si="16"/>
        <v>2.6692759295499022</v>
      </c>
      <c r="BM12" s="113">
        <f t="shared" si="16"/>
        <v>2.2815356489945153</v>
      </c>
      <c r="BN12" s="114">
        <f t="shared" si="16"/>
        <v>2.4504021447721178</v>
      </c>
      <c r="BO12" s="112">
        <f t="shared" si="16"/>
        <v>2.3353612167300382</v>
      </c>
      <c r="BP12" s="113">
        <f t="shared" si="16"/>
        <v>3.2446300715990453</v>
      </c>
      <c r="BQ12" s="190">
        <f t="shared" si="16"/>
        <v>3.9037800687285222</v>
      </c>
      <c r="BR12" s="113">
        <f t="shared" si="16"/>
        <v>3.7034313725490198</v>
      </c>
      <c r="BS12" s="112">
        <f>+BS16/BS8</f>
        <v>2.4473684210526314</v>
      </c>
      <c r="BT12" s="113">
        <f t="shared" ref="BT12:BY12" si="17">+BT16/BT8</f>
        <v>4.4044117647058822</v>
      </c>
      <c r="BU12" s="113">
        <f t="shared" si="17"/>
        <v>5.5106382978723403</v>
      </c>
      <c r="BV12" s="114">
        <f t="shared" si="17"/>
        <v>6.713483146067416</v>
      </c>
      <c r="BW12" s="113">
        <f t="shared" si="17"/>
        <v>5.7692307692307692</v>
      </c>
      <c r="BX12" s="113">
        <f t="shared" si="17"/>
        <v>7.0791366906474824</v>
      </c>
      <c r="BY12" s="113">
        <f t="shared" si="17"/>
        <v>6.2635658914728678</v>
      </c>
      <c r="BZ12" s="113">
        <f t="shared" ref="BZ12:CC12" si="18">+BZ16/BZ8</f>
        <v>6.7211796246648792</v>
      </c>
      <c r="CA12" s="112">
        <f t="shared" si="18"/>
        <v>6.5680473372781067</v>
      </c>
      <c r="CB12" s="113">
        <f t="shared" si="18"/>
        <v>5.2853717026378897</v>
      </c>
      <c r="CC12" s="113">
        <f t="shared" si="18"/>
        <v>4.2567114093959733</v>
      </c>
      <c r="CD12" s="114">
        <f>+CD16/CD8</f>
        <v>3.3586005830903791</v>
      </c>
      <c r="CE12" s="112">
        <f t="shared" ref="CE12:CG12" si="19">+CE16/CE8</f>
        <v>3.4013761467889907</v>
      </c>
      <c r="CF12" s="113">
        <f t="shared" si="19"/>
        <v>1.4</v>
      </c>
      <c r="CG12" s="113">
        <f t="shared" si="19"/>
        <v>4.0920096852300238</v>
      </c>
      <c r="CH12" s="114">
        <f>+CH16/CH8</f>
        <v>2.5228276877761413</v>
      </c>
      <c r="CI12" s="112">
        <f>+CI16/CI8-0.01</f>
        <v>3.4250180505415164</v>
      </c>
      <c r="CJ12" s="113">
        <f>+CJ16/CJ8-0.01</f>
        <v>5.3978947368421055</v>
      </c>
      <c r="CK12" s="113">
        <f t="shared" ref="CK12" si="20">+CK16/CK8</f>
        <v>5.6628787878787881</v>
      </c>
      <c r="CL12" s="114">
        <f>+CL16/CL8</f>
        <v>6.0979729729729728</v>
      </c>
      <c r="CM12" s="112">
        <f>+CM16/CM8</f>
        <v>5.262626262626263</v>
      </c>
      <c r="CN12" s="113">
        <f>+CN16/CN8</f>
        <v>6.1424148606811144</v>
      </c>
      <c r="CO12" s="113">
        <f>+CO16/CO8+0.01</f>
        <v>6.0035897435897434</v>
      </c>
      <c r="CP12" s="114">
        <f>+CP16/CP8</f>
        <v>5.9138969175940277</v>
      </c>
      <c r="CQ12" s="112">
        <f>+CQ16/CQ8</f>
        <v>5.7178423236514524</v>
      </c>
      <c r="CR12" s="113">
        <f t="shared" ref="CR12" si="21">+CR16/CR8</f>
        <v>6.4326241134751774</v>
      </c>
      <c r="CS12" s="113">
        <f>+CS16/CS8+0.01</f>
        <v>7.65527027027027</v>
      </c>
      <c r="CT12" s="114">
        <f>+CT16/CT8</f>
        <v>7.2665002372650562</v>
      </c>
      <c r="CU12" s="112">
        <f>+CU16/CU8</f>
        <v>5.7234042553191493</v>
      </c>
      <c r="CV12" s="113">
        <f t="shared" ref="CV12" si="22">+CV16/CV8</f>
        <v>5.333333333333333</v>
      </c>
      <c r="CW12" s="113" t="e">
        <f>+CW16/CW8+0.01</f>
        <v>#DIV/0!</v>
      </c>
      <c r="CX12" s="114" t="e">
        <f>+CX16/CX8</f>
        <v>#DIV/0!</v>
      </c>
      <c r="CY12" s="347"/>
      <c r="CZ12" s="347"/>
      <c r="DA12" s="347"/>
      <c r="DB12" s="347"/>
      <c r="DC12" s="347"/>
      <c r="DD12" s="347"/>
      <c r="DE12" s="347"/>
      <c r="DF12" s="347"/>
      <c r="DG12" s="347"/>
      <c r="DH12" s="347"/>
      <c r="DI12" s="347"/>
      <c r="DJ12" s="347"/>
      <c r="DK12" s="347"/>
      <c r="DL12" s="347"/>
      <c r="DM12" s="347"/>
      <c r="DN12" s="347"/>
      <c r="DO12" s="347"/>
    </row>
    <row r="13" spans="1:119" s="208" customFormat="1" x14ac:dyDescent="0.25">
      <c r="A13" s="225"/>
      <c r="B13" s="292" t="s">
        <v>57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49"/>
      <c r="AO13" s="249"/>
      <c r="AP13" s="249"/>
      <c r="AQ13" s="249"/>
      <c r="AR13" s="249"/>
      <c r="AS13" s="249"/>
      <c r="AT13" s="249"/>
      <c r="AU13" s="249"/>
      <c r="AV13" s="249"/>
      <c r="AW13" s="249"/>
      <c r="AX13" s="249"/>
      <c r="AY13" s="262"/>
      <c r="AZ13" s="249"/>
      <c r="BA13" s="249"/>
      <c r="BB13" s="291"/>
      <c r="BC13" s="213"/>
      <c r="BD13" s="214"/>
      <c r="BE13" s="214"/>
      <c r="BF13" s="259"/>
      <c r="BG13" s="213"/>
      <c r="BH13" s="214"/>
      <c r="BI13" s="249"/>
      <c r="BK13" s="225"/>
      <c r="BN13" s="227"/>
      <c r="BO13" s="288"/>
      <c r="BS13" s="225"/>
      <c r="BV13" s="227"/>
      <c r="CA13" s="225"/>
      <c r="CD13" s="227"/>
      <c r="CE13" s="225"/>
      <c r="CH13" s="227"/>
      <c r="CI13" s="225"/>
      <c r="CL13" s="227"/>
      <c r="CM13" s="225"/>
      <c r="CP13" s="227"/>
      <c r="CQ13" s="225"/>
      <c r="CT13" s="227"/>
      <c r="CU13" s="225"/>
      <c r="CX13" s="227"/>
    </row>
    <row r="14" spans="1:119" s="208" customFormat="1" x14ac:dyDescent="0.25">
      <c r="A14" s="225"/>
      <c r="B14" s="227" t="s">
        <v>52</v>
      </c>
      <c r="C14" s="214">
        <v>8622</v>
      </c>
      <c r="D14" s="214">
        <v>9357</v>
      </c>
      <c r="E14" s="214">
        <v>8910</v>
      </c>
      <c r="F14" s="214">
        <v>8665</v>
      </c>
      <c r="G14" s="214">
        <v>7505</v>
      </c>
      <c r="H14" s="214">
        <v>7806</v>
      </c>
      <c r="I14" s="214">
        <v>8016</v>
      </c>
      <c r="J14" s="214">
        <v>7092</v>
      </c>
      <c r="K14" s="214">
        <v>7191</v>
      </c>
      <c r="L14" s="214">
        <v>7857</v>
      </c>
      <c r="M14" s="214">
        <v>7741</v>
      </c>
      <c r="N14" s="214">
        <v>7665</v>
      </c>
      <c r="O14" s="214">
        <v>8149</v>
      </c>
      <c r="P14" s="214">
        <v>8095</v>
      </c>
      <c r="Q14" s="214">
        <v>8005</v>
      </c>
      <c r="R14" s="214">
        <v>8090</v>
      </c>
      <c r="S14" s="214">
        <v>7302</v>
      </c>
      <c r="T14" s="214">
        <v>8044</v>
      </c>
      <c r="U14" s="214">
        <v>7228</v>
      </c>
      <c r="V14" s="214">
        <v>7016</v>
      </c>
      <c r="W14" s="214">
        <v>7104</v>
      </c>
      <c r="X14" s="214">
        <v>7467</v>
      </c>
      <c r="Y14" s="214">
        <v>7609</v>
      </c>
      <c r="Z14" s="214">
        <v>7050</v>
      </c>
      <c r="AA14" s="249">
        <v>5721</v>
      </c>
      <c r="AB14" s="249">
        <v>6211</v>
      </c>
      <c r="AC14" s="249">
        <v>5873</v>
      </c>
      <c r="AD14" s="249">
        <v>5591</v>
      </c>
      <c r="AE14" s="249">
        <v>6179</v>
      </c>
      <c r="AF14" s="249">
        <v>6015</v>
      </c>
      <c r="AG14" s="249">
        <v>5157</v>
      </c>
      <c r="AH14" s="249">
        <v>5168</v>
      </c>
      <c r="AI14" s="249">
        <v>4065</v>
      </c>
      <c r="AJ14" s="249">
        <v>5142</v>
      </c>
      <c r="AK14" s="249">
        <v>5357</v>
      </c>
      <c r="AL14" s="249">
        <v>5247</v>
      </c>
      <c r="AM14" s="249">
        <v>3810</v>
      </c>
      <c r="AN14" s="249">
        <v>3638</v>
      </c>
      <c r="AO14" s="249">
        <v>3573</v>
      </c>
      <c r="AP14" s="249">
        <v>3956</v>
      </c>
      <c r="AQ14" s="249">
        <v>3303</v>
      </c>
      <c r="AR14" s="249">
        <v>3707</v>
      </c>
      <c r="AS14" s="249">
        <v>2267</v>
      </c>
      <c r="AT14" s="249">
        <v>1903</v>
      </c>
      <c r="AU14" s="249">
        <v>3449</v>
      </c>
      <c r="AV14" s="249">
        <v>3993</v>
      </c>
      <c r="AW14" s="249">
        <v>4882</v>
      </c>
      <c r="AX14" s="249">
        <v>4603</v>
      </c>
      <c r="AY14" s="262">
        <v>3702</v>
      </c>
      <c r="AZ14" s="249">
        <v>3993</v>
      </c>
      <c r="BA14" s="249">
        <v>4464</v>
      </c>
      <c r="BB14" s="291">
        <v>4170</v>
      </c>
      <c r="BC14" s="213">
        <v>3401</v>
      </c>
      <c r="BD14" s="214">
        <v>3901</v>
      </c>
      <c r="BE14" s="214">
        <v>4069</v>
      </c>
      <c r="BF14" s="259">
        <v>3974</v>
      </c>
      <c r="BG14" s="213">
        <v>3318</v>
      </c>
      <c r="BH14" s="214">
        <v>3394</v>
      </c>
      <c r="BI14" s="249">
        <v>3468</v>
      </c>
      <c r="BJ14" s="214">
        <f>3740-84+84</f>
        <v>3740</v>
      </c>
      <c r="BK14" s="262">
        <v>3038</v>
      </c>
      <c r="BL14" s="249">
        <v>3639</v>
      </c>
      <c r="BM14" s="249">
        <v>3306</v>
      </c>
      <c r="BN14" s="291">
        <v>3279</v>
      </c>
      <c r="BO14" s="213">
        <v>2833</v>
      </c>
      <c r="BP14" s="214">
        <v>2516</v>
      </c>
      <c r="BQ14" s="249">
        <v>2162</v>
      </c>
      <c r="BR14" s="214">
        <v>1441</v>
      </c>
      <c r="BS14" s="213">
        <v>90</v>
      </c>
      <c r="BT14" s="214">
        <v>599</v>
      </c>
      <c r="BU14" s="214">
        <v>2072</v>
      </c>
      <c r="BV14" s="259">
        <v>2390</v>
      </c>
      <c r="BW14" s="214">
        <v>1875</v>
      </c>
      <c r="BX14" s="214">
        <v>984</v>
      </c>
      <c r="BY14" s="214">
        <v>2424</v>
      </c>
      <c r="BZ14" s="214">
        <v>2507</v>
      </c>
      <c r="CA14" s="213">
        <v>2220</v>
      </c>
      <c r="CB14" s="214">
        <v>2189</v>
      </c>
      <c r="CC14" s="214">
        <v>2470</v>
      </c>
      <c r="CD14" s="259">
        <v>2134</v>
      </c>
      <c r="CE14" s="213">
        <v>1404</v>
      </c>
      <c r="CF14" s="214">
        <v>7</v>
      </c>
      <c r="CG14" s="214">
        <v>1640</v>
      </c>
      <c r="CH14" s="259">
        <v>1523</v>
      </c>
      <c r="CI14" s="213">
        <v>1844</v>
      </c>
      <c r="CJ14" s="214">
        <v>2040</v>
      </c>
      <c r="CK14" s="214">
        <v>1452</v>
      </c>
      <c r="CL14" s="259">
        <v>1789</v>
      </c>
      <c r="CM14" s="213">
        <v>1551</v>
      </c>
      <c r="CN14" s="214">
        <v>1948</v>
      </c>
      <c r="CO14" s="214">
        <v>1869</v>
      </c>
      <c r="CP14" s="259">
        <v>1597</v>
      </c>
      <c r="CQ14" s="213">
        <v>1378</v>
      </c>
      <c r="CR14" s="214">
        <v>1814</v>
      </c>
      <c r="CS14" s="214">
        <v>2263</v>
      </c>
      <c r="CT14" s="259">
        <v>1761</v>
      </c>
      <c r="CU14" s="213">
        <v>1345</v>
      </c>
      <c r="CV14" s="214">
        <v>1760</v>
      </c>
      <c r="CW14" s="214"/>
      <c r="CX14" s="259"/>
    </row>
    <row r="15" spans="1:119" s="208" customFormat="1" x14ac:dyDescent="0.25">
      <c r="A15" s="225"/>
      <c r="B15" s="227" t="s">
        <v>53</v>
      </c>
      <c r="C15" s="214">
        <v>1522</v>
      </c>
      <c r="D15" s="214">
        <v>1617</v>
      </c>
      <c r="E15" s="214">
        <v>1340</v>
      </c>
      <c r="F15" s="214">
        <v>1451</v>
      </c>
      <c r="G15" s="214">
        <v>1754</v>
      </c>
      <c r="H15" s="214">
        <v>1085</v>
      </c>
      <c r="I15" s="214">
        <v>972</v>
      </c>
      <c r="J15" s="214">
        <v>1377</v>
      </c>
      <c r="K15" s="214">
        <v>1817</v>
      </c>
      <c r="L15" s="214">
        <v>1172</v>
      </c>
      <c r="M15" s="214">
        <v>1077</v>
      </c>
      <c r="N15" s="214">
        <v>1284</v>
      </c>
      <c r="O15" s="214">
        <v>980</v>
      </c>
      <c r="P15" s="214">
        <v>1171</v>
      </c>
      <c r="Q15" s="214">
        <v>1010</v>
      </c>
      <c r="R15" s="214">
        <v>932</v>
      </c>
      <c r="S15" s="214">
        <v>1547</v>
      </c>
      <c r="T15" s="214">
        <v>825</v>
      </c>
      <c r="U15" s="214">
        <v>781</v>
      </c>
      <c r="V15" s="214">
        <v>676</v>
      </c>
      <c r="W15" s="214">
        <v>710</v>
      </c>
      <c r="X15" s="214">
        <v>636</v>
      </c>
      <c r="Y15" s="214">
        <v>489</v>
      </c>
      <c r="Z15" s="214">
        <v>401</v>
      </c>
      <c r="AA15" s="249">
        <v>809</v>
      </c>
      <c r="AB15" s="249">
        <v>575</v>
      </c>
      <c r="AC15" s="249">
        <v>555</v>
      </c>
      <c r="AD15" s="249">
        <v>472</v>
      </c>
      <c r="AE15" s="249">
        <v>514</v>
      </c>
      <c r="AF15" s="249">
        <v>615</v>
      </c>
      <c r="AG15" s="249">
        <v>736</v>
      </c>
      <c r="AH15" s="249">
        <v>657</v>
      </c>
      <c r="AI15" s="249">
        <v>510</v>
      </c>
      <c r="AJ15" s="249">
        <v>641</v>
      </c>
      <c r="AK15" s="249">
        <v>660</v>
      </c>
      <c r="AL15" s="249">
        <v>493</v>
      </c>
      <c r="AM15" s="249">
        <v>660</v>
      </c>
      <c r="AN15" s="249">
        <v>579</v>
      </c>
      <c r="AO15" s="249">
        <v>771</v>
      </c>
      <c r="AP15" s="249">
        <v>776</v>
      </c>
      <c r="AQ15" s="249">
        <v>840</v>
      </c>
      <c r="AR15" s="249">
        <v>621</v>
      </c>
      <c r="AS15" s="249">
        <v>726</v>
      </c>
      <c r="AT15" s="249">
        <v>361</v>
      </c>
      <c r="AU15" s="249">
        <v>489</v>
      </c>
      <c r="AV15" s="249">
        <v>501</v>
      </c>
      <c r="AW15" s="249">
        <v>416</v>
      </c>
      <c r="AX15" s="249">
        <v>442</v>
      </c>
      <c r="AY15" s="262">
        <v>370</v>
      </c>
      <c r="AZ15" s="249">
        <v>317</v>
      </c>
      <c r="BA15" s="249">
        <v>323</v>
      </c>
      <c r="BB15" s="291">
        <v>396</v>
      </c>
      <c r="BC15" s="213">
        <v>529</v>
      </c>
      <c r="BD15" s="214">
        <v>426</v>
      </c>
      <c r="BE15" s="214">
        <v>532</v>
      </c>
      <c r="BF15" s="259">
        <v>518</v>
      </c>
      <c r="BG15" s="213">
        <v>541</v>
      </c>
      <c r="BH15" s="214">
        <v>620</v>
      </c>
      <c r="BI15" s="249">
        <v>550</v>
      </c>
      <c r="BJ15" s="214">
        <v>499</v>
      </c>
      <c r="BK15" s="262">
        <v>474</v>
      </c>
      <c r="BL15" s="249">
        <v>453</v>
      </c>
      <c r="BM15" s="249">
        <v>438</v>
      </c>
      <c r="BN15" s="291">
        <v>377</v>
      </c>
      <c r="BO15" s="213">
        <v>238</v>
      </c>
      <c r="BP15" s="214">
        <v>203</v>
      </c>
      <c r="BQ15" s="249">
        <v>110</v>
      </c>
      <c r="BR15" s="214">
        <v>70</v>
      </c>
      <c r="BS15" s="213">
        <v>3</v>
      </c>
      <c r="BT15" s="214">
        <v>0</v>
      </c>
      <c r="BU15" s="214">
        <v>0</v>
      </c>
      <c r="BV15" s="259">
        <v>0</v>
      </c>
      <c r="BW15" s="214">
        <v>0</v>
      </c>
      <c r="BX15" s="214">
        <v>0</v>
      </c>
      <c r="BY15" s="214">
        <v>0</v>
      </c>
      <c r="BZ15" s="214">
        <v>0</v>
      </c>
      <c r="CA15" s="213">
        <v>0</v>
      </c>
      <c r="CB15" s="214">
        <v>15</v>
      </c>
      <c r="CC15" s="214">
        <v>67</v>
      </c>
      <c r="CD15" s="259">
        <v>170</v>
      </c>
      <c r="CE15" s="213">
        <v>79</v>
      </c>
      <c r="CF15" s="214">
        <v>0</v>
      </c>
      <c r="CG15" s="214">
        <v>50</v>
      </c>
      <c r="CH15" s="259">
        <v>190</v>
      </c>
      <c r="CI15" s="213">
        <v>59</v>
      </c>
      <c r="CJ15" s="214">
        <v>15</v>
      </c>
      <c r="CK15" s="214">
        <v>43</v>
      </c>
      <c r="CL15" s="259">
        <v>16</v>
      </c>
      <c r="CM15" s="213">
        <v>12</v>
      </c>
      <c r="CN15" s="214">
        <v>36</v>
      </c>
      <c r="CO15" s="214">
        <v>1</v>
      </c>
      <c r="CP15" s="259">
        <v>1</v>
      </c>
      <c r="CQ15" s="693">
        <v>0</v>
      </c>
      <c r="CR15" s="681">
        <v>0</v>
      </c>
      <c r="CS15" s="681">
        <v>0</v>
      </c>
      <c r="CT15" s="682">
        <v>0</v>
      </c>
      <c r="CU15" s="693">
        <v>0</v>
      </c>
      <c r="CV15" s="681">
        <v>16</v>
      </c>
      <c r="CW15" s="681">
        <v>0</v>
      </c>
      <c r="CX15" s="682">
        <v>0</v>
      </c>
    </row>
    <row r="16" spans="1:119" s="1" customFormat="1" x14ac:dyDescent="0.25">
      <c r="A16" s="306"/>
      <c r="B16" s="290" t="s">
        <v>54</v>
      </c>
      <c r="C16" s="66">
        <f>+C15+C14</f>
        <v>10144</v>
      </c>
      <c r="D16" s="66">
        <f t="shared" ref="D16:BN16" si="23">+D15+D14</f>
        <v>10974</v>
      </c>
      <c r="E16" s="66">
        <f t="shared" si="23"/>
        <v>10250</v>
      </c>
      <c r="F16" s="66">
        <f t="shared" si="23"/>
        <v>10116</v>
      </c>
      <c r="G16" s="66">
        <f t="shared" si="23"/>
        <v>9259</v>
      </c>
      <c r="H16" s="66">
        <f t="shared" si="23"/>
        <v>8891</v>
      </c>
      <c r="I16" s="66">
        <f t="shared" si="23"/>
        <v>8988</v>
      </c>
      <c r="J16" s="66">
        <f t="shared" si="23"/>
        <v>8469</v>
      </c>
      <c r="K16" s="66">
        <f t="shared" si="23"/>
        <v>9008</v>
      </c>
      <c r="L16" s="66">
        <f t="shared" si="23"/>
        <v>9029</v>
      </c>
      <c r="M16" s="66">
        <f t="shared" si="23"/>
        <v>8818</v>
      </c>
      <c r="N16" s="66">
        <f t="shared" si="23"/>
        <v>8949</v>
      </c>
      <c r="O16" s="66">
        <f t="shared" si="23"/>
        <v>9129</v>
      </c>
      <c r="P16" s="66">
        <f t="shared" si="23"/>
        <v>9266</v>
      </c>
      <c r="Q16" s="66">
        <f t="shared" si="23"/>
        <v>9015</v>
      </c>
      <c r="R16" s="66">
        <f t="shared" si="23"/>
        <v>9022</v>
      </c>
      <c r="S16" s="66">
        <f t="shared" si="23"/>
        <v>8849</v>
      </c>
      <c r="T16" s="66">
        <f t="shared" si="23"/>
        <v>8869</v>
      </c>
      <c r="U16" s="66">
        <f t="shared" si="23"/>
        <v>8009</v>
      </c>
      <c r="V16" s="66">
        <f t="shared" si="23"/>
        <v>7692</v>
      </c>
      <c r="W16" s="66">
        <f t="shared" si="23"/>
        <v>7814</v>
      </c>
      <c r="X16" s="66">
        <f t="shared" si="23"/>
        <v>8103</v>
      </c>
      <c r="Y16" s="66">
        <f t="shared" si="23"/>
        <v>8098</v>
      </c>
      <c r="Z16" s="66">
        <f t="shared" si="23"/>
        <v>7451</v>
      </c>
      <c r="AA16" s="63">
        <f t="shared" si="23"/>
        <v>6530</v>
      </c>
      <c r="AB16" s="63">
        <f t="shared" si="23"/>
        <v>6786</v>
      </c>
      <c r="AC16" s="63">
        <f t="shared" si="23"/>
        <v>6428</v>
      </c>
      <c r="AD16" s="63">
        <f t="shared" si="23"/>
        <v>6063</v>
      </c>
      <c r="AE16" s="63">
        <f t="shared" si="23"/>
        <v>6693</v>
      </c>
      <c r="AF16" s="63">
        <f t="shared" si="23"/>
        <v>6630</v>
      </c>
      <c r="AG16" s="63">
        <f t="shared" si="23"/>
        <v>5893</v>
      </c>
      <c r="AH16" s="63">
        <f t="shared" si="23"/>
        <v>5825</v>
      </c>
      <c r="AI16" s="63">
        <f t="shared" si="23"/>
        <v>4575</v>
      </c>
      <c r="AJ16" s="63">
        <f t="shared" si="23"/>
        <v>5783</v>
      </c>
      <c r="AK16" s="63">
        <f t="shared" si="23"/>
        <v>6017</v>
      </c>
      <c r="AL16" s="63">
        <f t="shared" si="23"/>
        <v>5740</v>
      </c>
      <c r="AM16" s="63">
        <f t="shared" si="23"/>
        <v>4470</v>
      </c>
      <c r="AN16" s="63">
        <f t="shared" si="23"/>
        <v>4217</v>
      </c>
      <c r="AO16" s="63">
        <f t="shared" si="23"/>
        <v>4344</v>
      </c>
      <c r="AP16" s="63">
        <f t="shared" si="23"/>
        <v>4732</v>
      </c>
      <c r="AQ16" s="63">
        <f t="shared" si="23"/>
        <v>4143</v>
      </c>
      <c r="AR16" s="63">
        <f t="shared" si="23"/>
        <v>4328</v>
      </c>
      <c r="AS16" s="63">
        <f t="shared" si="23"/>
        <v>2993</v>
      </c>
      <c r="AT16" s="63">
        <f t="shared" si="23"/>
        <v>2264</v>
      </c>
      <c r="AU16" s="63">
        <f t="shared" si="23"/>
        <v>3938</v>
      </c>
      <c r="AV16" s="63">
        <f t="shared" si="23"/>
        <v>4494</v>
      </c>
      <c r="AW16" s="63">
        <f t="shared" si="23"/>
        <v>5298</v>
      </c>
      <c r="AX16" s="63">
        <f t="shared" si="23"/>
        <v>5045</v>
      </c>
      <c r="AY16" s="62">
        <f t="shared" si="23"/>
        <v>4072</v>
      </c>
      <c r="AZ16" s="63">
        <f t="shared" si="23"/>
        <v>4310</v>
      </c>
      <c r="BA16" s="63">
        <f t="shared" si="23"/>
        <v>4787</v>
      </c>
      <c r="BB16" s="64">
        <f t="shared" si="23"/>
        <v>4566</v>
      </c>
      <c r="BC16" s="65">
        <f t="shared" si="23"/>
        <v>3930</v>
      </c>
      <c r="BD16" s="66">
        <f t="shared" si="23"/>
        <v>4327</v>
      </c>
      <c r="BE16" s="66">
        <f t="shared" si="23"/>
        <v>4601</v>
      </c>
      <c r="BF16" s="67">
        <f t="shared" si="23"/>
        <v>4492</v>
      </c>
      <c r="BG16" s="65">
        <f t="shared" si="23"/>
        <v>3859</v>
      </c>
      <c r="BH16" s="66">
        <f t="shared" si="23"/>
        <v>4014</v>
      </c>
      <c r="BI16" s="66">
        <f t="shared" si="23"/>
        <v>4018</v>
      </c>
      <c r="BJ16" s="66">
        <f t="shared" si="23"/>
        <v>4239</v>
      </c>
      <c r="BK16" s="109">
        <f t="shared" si="23"/>
        <v>3512</v>
      </c>
      <c r="BL16" s="110">
        <f t="shared" si="23"/>
        <v>4092</v>
      </c>
      <c r="BM16" s="110">
        <f t="shared" si="23"/>
        <v>3744</v>
      </c>
      <c r="BN16" s="111">
        <f t="shared" si="23"/>
        <v>3656</v>
      </c>
      <c r="BO16" s="109">
        <f t="shared" ref="BO16:BV16" si="24">+BO15+BO14</f>
        <v>3071</v>
      </c>
      <c r="BP16" s="110">
        <f t="shared" si="24"/>
        <v>2719</v>
      </c>
      <c r="BQ16" s="189">
        <f t="shared" si="24"/>
        <v>2272</v>
      </c>
      <c r="BR16" s="110">
        <f t="shared" si="24"/>
        <v>1511</v>
      </c>
      <c r="BS16" s="109">
        <f t="shared" si="24"/>
        <v>93</v>
      </c>
      <c r="BT16" s="110">
        <f t="shared" si="24"/>
        <v>599</v>
      </c>
      <c r="BU16" s="110">
        <f t="shared" si="24"/>
        <v>2072</v>
      </c>
      <c r="BV16" s="111">
        <f t="shared" si="24"/>
        <v>2390</v>
      </c>
      <c r="BW16" s="110">
        <f t="shared" ref="BW16:BX16" si="25">+BW15+BW14</f>
        <v>1875</v>
      </c>
      <c r="BX16" s="110">
        <f t="shared" si="25"/>
        <v>984</v>
      </c>
      <c r="BY16" s="110">
        <f t="shared" ref="BY16:BZ16" si="26">+BY15+BY14</f>
        <v>2424</v>
      </c>
      <c r="BZ16" s="110">
        <f t="shared" si="26"/>
        <v>2507</v>
      </c>
      <c r="CA16" s="109">
        <f t="shared" ref="CA16:CB16" si="27">+CA15+CA14</f>
        <v>2220</v>
      </c>
      <c r="CB16" s="110">
        <f t="shared" si="27"/>
        <v>2204</v>
      </c>
      <c r="CC16" s="110">
        <f t="shared" ref="CC16:CF16" si="28">+CC15+CC14</f>
        <v>2537</v>
      </c>
      <c r="CD16" s="111">
        <f t="shared" si="28"/>
        <v>2304</v>
      </c>
      <c r="CE16" s="109">
        <f t="shared" si="28"/>
        <v>1483</v>
      </c>
      <c r="CF16" s="110">
        <f t="shared" si="28"/>
        <v>7</v>
      </c>
      <c r="CG16" s="110">
        <f t="shared" ref="CG16:CJ16" si="29">+CG15+CG14</f>
        <v>1690</v>
      </c>
      <c r="CH16" s="111">
        <f t="shared" si="29"/>
        <v>1713</v>
      </c>
      <c r="CI16" s="109">
        <f t="shared" si="29"/>
        <v>1903</v>
      </c>
      <c r="CJ16" s="110">
        <f t="shared" si="29"/>
        <v>2055</v>
      </c>
      <c r="CK16" s="110">
        <f t="shared" ref="CK16:CP16" si="30">+CK15+CK14</f>
        <v>1495</v>
      </c>
      <c r="CL16" s="111">
        <f t="shared" si="30"/>
        <v>1805</v>
      </c>
      <c r="CM16" s="109">
        <f t="shared" si="30"/>
        <v>1563</v>
      </c>
      <c r="CN16" s="110">
        <f t="shared" si="30"/>
        <v>1984</v>
      </c>
      <c r="CO16" s="110">
        <f t="shared" si="30"/>
        <v>1870</v>
      </c>
      <c r="CP16" s="111">
        <f t="shared" si="30"/>
        <v>1598</v>
      </c>
      <c r="CQ16" s="109">
        <f t="shared" ref="CQ16:CT16" si="31">+CQ15+CQ14</f>
        <v>1378</v>
      </c>
      <c r="CR16" s="110">
        <f t="shared" si="31"/>
        <v>1814</v>
      </c>
      <c r="CS16" s="110">
        <f t="shared" si="31"/>
        <v>2263</v>
      </c>
      <c r="CT16" s="111">
        <f t="shared" si="31"/>
        <v>1761</v>
      </c>
      <c r="CU16" s="109">
        <f t="shared" ref="CU16:CX16" si="32">+CU15+CU14</f>
        <v>1345</v>
      </c>
      <c r="CV16" s="110">
        <f t="shared" si="32"/>
        <v>1776</v>
      </c>
      <c r="CW16" s="110">
        <f t="shared" si="32"/>
        <v>0</v>
      </c>
      <c r="CX16" s="111">
        <f t="shared" si="32"/>
        <v>0</v>
      </c>
      <c r="CY16" s="347"/>
      <c r="CZ16" s="347"/>
      <c r="DA16" s="347"/>
      <c r="DB16" s="347"/>
      <c r="DC16" s="347"/>
      <c r="DD16" s="347"/>
      <c r="DE16" s="347"/>
      <c r="DF16" s="347"/>
      <c r="DG16" s="347"/>
      <c r="DH16" s="347"/>
      <c r="DI16" s="347"/>
      <c r="DJ16" s="347"/>
      <c r="DK16" s="347"/>
      <c r="DL16" s="347"/>
      <c r="DM16" s="347"/>
      <c r="DN16" s="347"/>
      <c r="DO16" s="347"/>
    </row>
    <row r="17" spans="1:119" x14ac:dyDescent="0.25">
      <c r="A17" s="225"/>
      <c r="B17" s="296" t="s">
        <v>124</v>
      </c>
      <c r="C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167" t="s">
        <v>58</v>
      </c>
      <c r="AY17" s="10"/>
      <c r="AZ17" s="8"/>
      <c r="BA17" s="8"/>
      <c r="BB17" s="9"/>
      <c r="BC17" s="34"/>
      <c r="BD17" s="32"/>
      <c r="BE17" s="32"/>
      <c r="BF17" s="33"/>
      <c r="BG17" s="34"/>
      <c r="BH17" s="32"/>
      <c r="BI17" s="8"/>
      <c r="BK17" s="225"/>
      <c r="BL17" s="208"/>
      <c r="BM17" s="208"/>
      <c r="BN17" s="227"/>
      <c r="BO17" s="288"/>
      <c r="BP17" s="208"/>
      <c r="BQ17" s="208"/>
      <c r="BR17" s="208"/>
      <c r="BS17" s="225"/>
      <c r="BT17" s="208"/>
      <c r="BU17" s="208"/>
      <c r="BV17" s="227"/>
      <c r="BW17" s="225"/>
      <c r="BX17" s="208"/>
      <c r="BY17" s="208"/>
      <c r="BZ17" s="208"/>
      <c r="CA17" s="225"/>
      <c r="CB17" s="208"/>
      <c r="CC17" s="208"/>
      <c r="CD17" s="227"/>
      <c r="CE17" s="225"/>
      <c r="CF17" s="208"/>
      <c r="CG17" s="208"/>
      <c r="CH17" s="227"/>
      <c r="CI17" s="225"/>
      <c r="CJ17" s="208"/>
      <c r="CK17" s="208"/>
      <c r="CL17" s="227"/>
      <c r="CM17" s="225"/>
      <c r="CN17" s="208"/>
      <c r="CO17" s="208"/>
      <c r="CP17" s="227"/>
      <c r="CQ17" s="225"/>
      <c r="CR17" s="208"/>
      <c r="CS17" s="208"/>
      <c r="CT17" s="227"/>
      <c r="CU17" s="225"/>
      <c r="CV17" s="208"/>
      <c r="CW17" s="208"/>
      <c r="CX17" s="227"/>
    </row>
    <row r="18" spans="1:119" x14ac:dyDescent="0.25">
      <c r="A18" s="225"/>
      <c r="B18" s="227" t="s">
        <v>52</v>
      </c>
      <c r="C18" s="32">
        <v>549</v>
      </c>
      <c r="D18" s="32">
        <v>606</v>
      </c>
      <c r="E18" s="32">
        <v>592</v>
      </c>
      <c r="F18" s="32">
        <v>571</v>
      </c>
      <c r="G18" s="32">
        <v>582</v>
      </c>
      <c r="H18" s="32">
        <v>577</v>
      </c>
      <c r="I18" s="32">
        <v>606</v>
      </c>
      <c r="J18" s="32">
        <v>635</v>
      </c>
      <c r="K18" s="32">
        <v>694</v>
      </c>
      <c r="L18" s="32">
        <v>629</v>
      </c>
      <c r="M18" s="32">
        <v>618</v>
      </c>
      <c r="N18" s="32">
        <v>602</v>
      </c>
      <c r="O18" s="32">
        <v>623</v>
      </c>
      <c r="P18" s="32">
        <v>593</v>
      </c>
      <c r="Q18" s="32">
        <v>621</v>
      </c>
      <c r="R18" s="32">
        <v>623</v>
      </c>
      <c r="S18" s="32">
        <v>674</v>
      </c>
      <c r="T18" s="32">
        <v>710</v>
      </c>
      <c r="U18" s="32">
        <v>626</v>
      </c>
      <c r="V18" s="32">
        <v>654</v>
      </c>
      <c r="W18" s="32">
        <v>680</v>
      </c>
      <c r="X18" s="32">
        <v>652</v>
      </c>
      <c r="Y18" s="32">
        <v>735</v>
      </c>
      <c r="Z18" s="32">
        <v>760</v>
      </c>
      <c r="AA18" s="8">
        <v>984</v>
      </c>
      <c r="AB18" s="8">
        <v>896</v>
      </c>
      <c r="AC18" s="8">
        <v>1127</v>
      </c>
      <c r="AD18" s="8">
        <v>1081</v>
      </c>
      <c r="AE18" s="8">
        <v>928</v>
      </c>
      <c r="AF18" s="8">
        <v>1059</v>
      </c>
      <c r="AG18" s="8">
        <v>1248</v>
      </c>
      <c r="AH18" s="8">
        <v>1212</v>
      </c>
      <c r="AI18" s="8">
        <v>1324</v>
      </c>
      <c r="AJ18" s="8">
        <v>1129</v>
      </c>
      <c r="AK18" s="8">
        <v>1202</v>
      </c>
      <c r="AL18" s="8">
        <v>1184</v>
      </c>
      <c r="AM18" s="8">
        <v>1390</v>
      </c>
      <c r="AN18" s="8">
        <v>1345</v>
      </c>
      <c r="AO18" s="8">
        <v>1465</v>
      </c>
      <c r="AP18" s="8">
        <v>1289</v>
      </c>
      <c r="AQ18" s="8">
        <v>1663</v>
      </c>
      <c r="AR18" s="8">
        <v>1698</v>
      </c>
      <c r="AS18" s="8">
        <v>2644</v>
      </c>
      <c r="AT18" s="8">
        <v>2653</v>
      </c>
      <c r="AU18" s="8">
        <v>2018</v>
      </c>
      <c r="AV18" s="8">
        <v>1751</v>
      </c>
      <c r="AW18" s="8">
        <v>1748</v>
      </c>
      <c r="AX18" s="8">
        <v>1600</v>
      </c>
      <c r="AY18" s="10">
        <v>1999</v>
      </c>
      <c r="AZ18" s="8">
        <v>1769</v>
      </c>
      <c r="BA18" s="8">
        <v>1684</v>
      </c>
      <c r="BB18" s="9">
        <v>1693</v>
      </c>
      <c r="BC18" s="34">
        <v>1894</v>
      </c>
      <c r="BD18" s="32">
        <v>1962</v>
      </c>
      <c r="BE18" s="32">
        <v>1995</v>
      </c>
      <c r="BF18" s="33">
        <v>1906</v>
      </c>
      <c r="BG18" s="34">
        <v>2211</v>
      </c>
      <c r="BH18" s="32">
        <v>2509</v>
      </c>
      <c r="BI18" s="8">
        <v>2479</v>
      </c>
      <c r="BJ18" s="32">
        <v>2312</v>
      </c>
      <c r="BK18" s="213">
        <v>2538</v>
      </c>
      <c r="BL18" s="214">
        <v>2563</v>
      </c>
      <c r="BM18" s="214">
        <v>2643</v>
      </c>
      <c r="BN18" s="259">
        <v>2475</v>
      </c>
      <c r="BO18" s="213">
        <v>2661</v>
      </c>
      <c r="BP18" s="214">
        <v>3115</v>
      </c>
      <c r="BQ18" s="249">
        <v>3585</v>
      </c>
      <c r="BR18" s="214">
        <v>4303</v>
      </c>
      <c r="BS18" s="213">
        <v>27157</v>
      </c>
      <c r="BT18" s="214">
        <v>8482</v>
      </c>
      <c r="BU18" s="214">
        <v>3499</v>
      </c>
      <c r="BV18" s="259">
        <v>3322</v>
      </c>
      <c r="BW18" s="214">
        <v>3694</v>
      </c>
      <c r="BX18" s="214">
        <v>7978</v>
      </c>
      <c r="BY18" s="214">
        <v>3683</v>
      </c>
      <c r="BZ18" s="214">
        <v>3410</v>
      </c>
      <c r="CA18" s="213">
        <v>3765</v>
      </c>
      <c r="CB18" s="214">
        <v>3790</v>
      </c>
      <c r="CC18" s="214">
        <v>3438</v>
      </c>
      <c r="CD18" s="259">
        <v>4223</v>
      </c>
      <c r="CE18" s="213">
        <v>5301</v>
      </c>
      <c r="CF18" s="214">
        <v>0</v>
      </c>
      <c r="CG18" s="214">
        <v>5623</v>
      </c>
      <c r="CH18" s="259">
        <v>4721</v>
      </c>
      <c r="CI18" s="213">
        <v>4247</v>
      </c>
      <c r="CJ18" s="214">
        <v>4616</v>
      </c>
      <c r="CK18" s="214">
        <v>6948</v>
      </c>
      <c r="CL18" s="259">
        <v>5888</v>
      </c>
      <c r="CM18" s="213">
        <v>5884</v>
      </c>
      <c r="CN18" s="214">
        <v>5784</v>
      </c>
      <c r="CO18" s="214">
        <v>6047</v>
      </c>
      <c r="CP18" s="259">
        <v>5933</v>
      </c>
      <c r="CQ18" s="213">
        <v>6840</v>
      </c>
      <c r="CR18" s="214">
        <v>6691</v>
      </c>
      <c r="CS18" s="214">
        <v>7055</v>
      </c>
      <c r="CT18" s="259">
        <v>7543</v>
      </c>
      <c r="CU18" s="213">
        <v>7673</v>
      </c>
      <c r="CV18" s="214">
        <v>7198</v>
      </c>
      <c r="CW18" s="214"/>
      <c r="CX18" s="259"/>
    </row>
    <row r="19" spans="1:119" x14ac:dyDescent="0.25">
      <c r="A19" s="225"/>
      <c r="B19" s="227" t="s">
        <v>53</v>
      </c>
      <c r="C19" s="32">
        <v>56</v>
      </c>
      <c r="D19" s="32">
        <v>54</v>
      </c>
      <c r="E19" s="32">
        <v>58</v>
      </c>
      <c r="F19" s="32">
        <v>80</v>
      </c>
      <c r="G19" s="32">
        <v>65</v>
      </c>
      <c r="H19" s="32">
        <v>59</v>
      </c>
      <c r="I19" s="32">
        <v>56</v>
      </c>
      <c r="J19" s="32">
        <v>74</v>
      </c>
      <c r="K19" s="32">
        <v>69</v>
      </c>
      <c r="L19" s="32">
        <v>78</v>
      </c>
      <c r="M19" s="32">
        <v>58</v>
      </c>
      <c r="N19" s="32">
        <v>75</v>
      </c>
      <c r="O19" s="32">
        <v>52</v>
      </c>
      <c r="P19" s="32">
        <v>60</v>
      </c>
      <c r="Q19" s="32">
        <v>68</v>
      </c>
      <c r="R19" s="32">
        <v>51</v>
      </c>
      <c r="S19" s="32">
        <v>63</v>
      </c>
      <c r="T19" s="32">
        <v>58</v>
      </c>
      <c r="U19" s="32">
        <v>63</v>
      </c>
      <c r="V19" s="32">
        <v>65</v>
      </c>
      <c r="W19" s="32">
        <v>64</v>
      </c>
      <c r="X19" s="32">
        <v>67</v>
      </c>
      <c r="Y19" s="32">
        <v>73</v>
      </c>
      <c r="Z19" s="32">
        <v>80</v>
      </c>
      <c r="AA19" s="8">
        <v>86</v>
      </c>
      <c r="AB19" s="8">
        <v>78</v>
      </c>
      <c r="AC19" s="8">
        <v>80</v>
      </c>
      <c r="AD19" s="8">
        <v>76</v>
      </c>
      <c r="AE19" s="8">
        <v>93</v>
      </c>
      <c r="AF19" s="8">
        <v>87</v>
      </c>
      <c r="AG19" s="8">
        <v>80</v>
      </c>
      <c r="AH19" s="8">
        <v>79</v>
      </c>
      <c r="AI19" s="8">
        <v>84</v>
      </c>
      <c r="AJ19" s="8">
        <v>92</v>
      </c>
      <c r="AK19" s="8">
        <v>116</v>
      </c>
      <c r="AL19" s="8">
        <v>107</v>
      </c>
      <c r="AM19" s="8">
        <v>97</v>
      </c>
      <c r="AN19" s="8">
        <v>116</v>
      </c>
      <c r="AO19" s="8">
        <v>96</v>
      </c>
      <c r="AP19" s="8">
        <v>101</v>
      </c>
      <c r="AQ19" s="8">
        <v>125</v>
      </c>
      <c r="AR19" s="8">
        <v>147</v>
      </c>
      <c r="AS19" s="8">
        <v>157</v>
      </c>
      <c r="AT19" s="8">
        <v>173</v>
      </c>
      <c r="AU19" s="8">
        <v>170</v>
      </c>
      <c r="AV19" s="8">
        <v>166</v>
      </c>
      <c r="AW19" s="8">
        <v>162</v>
      </c>
      <c r="AX19" s="8">
        <v>163</v>
      </c>
      <c r="AY19" s="10">
        <v>168</v>
      </c>
      <c r="AZ19" s="8">
        <v>170</v>
      </c>
      <c r="BA19" s="8">
        <v>178</v>
      </c>
      <c r="BB19" s="9">
        <v>161</v>
      </c>
      <c r="BC19" s="34">
        <v>159</v>
      </c>
      <c r="BD19" s="32">
        <v>168</v>
      </c>
      <c r="BE19" s="32">
        <v>173</v>
      </c>
      <c r="BF19" s="33">
        <v>158</v>
      </c>
      <c r="BG19" s="34">
        <v>168</v>
      </c>
      <c r="BH19" s="32">
        <v>185</v>
      </c>
      <c r="BI19" s="8">
        <v>187</v>
      </c>
      <c r="BJ19" s="32">
        <v>189</v>
      </c>
      <c r="BK19" s="213">
        <v>200</v>
      </c>
      <c r="BL19" s="214">
        <v>188</v>
      </c>
      <c r="BM19" s="214">
        <v>175</v>
      </c>
      <c r="BN19" s="259">
        <v>171</v>
      </c>
      <c r="BO19" s="213">
        <v>208</v>
      </c>
      <c r="BP19" s="214">
        <v>196</v>
      </c>
      <c r="BQ19" s="249">
        <v>326</v>
      </c>
      <c r="BR19" s="214">
        <v>148</v>
      </c>
      <c r="BS19" s="213">
        <v>1138</v>
      </c>
      <c r="BT19" s="214">
        <v>0</v>
      </c>
      <c r="BU19" s="214">
        <v>0</v>
      </c>
      <c r="BV19" s="259">
        <v>0</v>
      </c>
      <c r="BW19" s="214">
        <v>0</v>
      </c>
      <c r="BX19" s="214">
        <v>0</v>
      </c>
      <c r="BY19" s="214">
        <v>0</v>
      </c>
      <c r="BZ19" s="214">
        <v>0</v>
      </c>
      <c r="CA19" s="213">
        <v>0</v>
      </c>
      <c r="CB19" s="214">
        <v>195</v>
      </c>
      <c r="CC19" s="214">
        <v>159</v>
      </c>
      <c r="CD19" s="259">
        <v>274</v>
      </c>
      <c r="CE19" s="213">
        <v>295</v>
      </c>
      <c r="CF19" s="214">
        <v>0</v>
      </c>
      <c r="CG19" s="214">
        <v>359</v>
      </c>
      <c r="CH19" s="259">
        <v>254</v>
      </c>
      <c r="CI19" s="213">
        <v>362</v>
      </c>
      <c r="CJ19" s="214">
        <v>478</v>
      </c>
      <c r="CK19" s="214">
        <v>783</v>
      </c>
      <c r="CL19" s="259">
        <v>243</v>
      </c>
      <c r="CM19" s="213">
        <v>334</v>
      </c>
      <c r="CN19" s="214">
        <v>319</v>
      </c>
      <c r="CO19" s="681">
        <v>0</v>
      </c>
      <c r="CP19" s="682">
        <v>0</v>
      </c>
      <c r="CQ19" s="693">
        <v>0</v>
      </c>
      <c r="CR19" s="681">
        <v>0</v>
      </c>
      <c r="CS19" s="681">
        <v>0</v>
      </c>
      <c r="CT19" s="682">
        <v>0</v>
      </c>
      <c r="CU19" s="693">
        <v>0</v>
      </c>
      <c r="CV19" s="681">
        <v>1345</v>
      </c>
      <c r="CW19" s="681">
        <v>0</v>
      </c>
      <c r="CX19" s="682">
        <v>0</v>
      </c>
    </row>
    <row r="20" spans="1:119" s="1" customFormat="1" x14ac:dyDescent="0.25">
      <c r="A20" s="306"/>
      <c r="B20" s="290" t="s">
        <v>54</v>
      </c>
      <c r="C20" s="66">
        <f>+((C18*C6)+(C19*C7))/(C8)</f>
        <v>341.71929824561403</v>
      </c>
      <c r="D20" s="66">
        <f>+((D18*D6)+(D19*D7))/(D8)+1</f>
        <v>345.33766233766232</v>
      </c>
      <c r="E20" s="66">
        <f t="shared" ref="E20:AR20" si="33">+((E18*E6)+(E19*E7))/(E8)</f>
        <v>383.90446260213702</v>
      </c>
      <c r="F20" s="66">
        <f t="shared" si="33"/>
        <v>421.01935038009674</v>
      </c>
      <c r="G20" s="66">
        <f t="shared" si="33"/>
        <v>354.98009367681499</v>
      </c>
      <c r="H20" s="66">
        <f>+((H18*H6)+(H19*H7))/(H8)+1</f>
        <v>367.48275862068965</v>
      </c>
      <c r="I20" s="66">
        <f t="shared" si="33"/>
        <v>397.04803493449782</v>
      </c>
      <c r="J20" s="66">
        <f t="shared" si="33"/>
        <v>416.07317073170731</v>
      </c>
      <c r="K20" s="66">
        <f t="shared" si="33"/>
        <v>385.46525679758309</v>
      </c>
      <c r="L20" s="66">
        <f t="shared" si="33"/>
        <v>392.90567200986436</v>
      </c>
      <c r="M20" s="66">
        <f t="shared" si="33"/>
        <v>402.559585492228</v>
      </c>
      <c r="N20" s="66">
        <f t="shared" si="33"/>
        <v>379.61687917425621</v>
      </c>
      <c r="O20" s="66">
        <f t="shared" si="33"/>
        <v>348.53068181818179</v>
      </c>
      <c r="P20" s="66">
        <f t="shared" si="33"/>
        <v>359.06712564543892</v>
      </c>
      <c r="Q20" s="66">
        <f>+((Q18*Q6)+(Q19*Q7))/(Q8)-1</f>
        <v>405.85811648079306</v>
      </c>
      <c r="R20" s="66">
        <f t="shared" si="33"/>
        <v>400.51781472684087</v>
      </c>
      <c r="S20" s="66">
        <f t="shared" si="33"/>
        <v>371.67012561441834</v>
      </c>
      <c r="T20" s="66">
        <f t="shared" si="33"/>
        <v>404.63291139240505</v>
      </c>
      <c r="U20" s="66">
        <f t="shared" si="33"/>
        <v>381.6917204932472</v>
      </c>
      <c r="V20" s="66">
        <f t="shared" si="33"/>
        <v>394.88224745965334</v>
      </c>
      <c r="W20" s="66">
        <f t="shared" si="33"/>
        <v>414.59975520195837</v>
      </c>
      <c r="X20" s="66">
        <f>+((X18*X6)+(X19*X7))/(X8)-1</f>
        <v>415.50365408038977</v>
      </c>
      <c r="Y20" s="66">
        <f t="shared" si="33"/>
        <v>472.27415143603133</v>
      </c>
      <c r="Z20" s="66">
        <f>+((Z18*Z6)+(Z19*Z7))/(Z8)+1</f>
        <v>504.27469553450607</v>
      </c>
      <c r="AA20" s="63">
        <f t="shared" si="33"/>
        <v>507.29172510518936</v>
      </c>
      <c r="AB20" s="63">
        <f t="shared" si="33"/>
        <v>480.38187702265373</v>
      </c>
      <c r="AC20" s="63">
        <f>+((AC18*AC6)+(AC19*AC7))/(AC8)-1</f>
        <v>572.5078125</v>
      </c>
      <c r="AD20" s="63">
        <f t="shared" si="33"/>
        <v>545.375</v>
      </c>
      <c r="AE20" s="63">
        <f t="shared" si="33"/>
        <v>564.55497722836697</v>
      </c>
      <c r="AF20" s="63">
        <f t="shared" si="33"/>
        <v>589.453125</v>
      </c>
      <c r="AG20" s="63">
        <f t="shared" si="33"/>
        <v>616.97662337662337</v>
      </c>
      <c r="AH20" s="63">
        <f t="shared" si="33"/>
        <v>605.97674418604652</v>
      </c>
      <c r="AI20" s="63">
        <f t="shared" si="33"/>
        <v>659.77746077032805</v>
      </c>
      <c r="AJ20" s="63">
        <f t="shared" si="33"/>
        <v>639.12484316185692</v>
      </c>
      <c r="AK20" s="63">
        <f t="shared" si="33"/>
        <v>682.20512820512818</v>
      </c>
      <c r="AL20" s="63">
        <f t="shared" si="33"/>
        <v>673.11538461538464</v>
      </c>
      <c r="AM20" s="63">
        <f t="shared" si="33"/>
        <v>631.369918699187</v>
      </c>
      <c r="AN20" s="63">
        <f>+((AN18*AN6)+(AN19*AN7))/(AN8)+1</f>
        <v>674.27935222672068</v>
      </c>
      <c r="AO20" s="63">
        <f>+((AO18*AO6)+(AO19*AO7))/(AO8)-1</f>
        <v>645.72715736040607</v>
      </c>
      <c r="AP20" s="63">
        <f t="shared" si="33"/>
        <v>606.24984500929941</v>
      </c>
      <c r="AQ20" s="63">
        <f t="shared" si="33"/>
        <v>751.30469314079426</v>
      </c>
      <c r="AR20" s="63">
        <f t="shared" si="33"/>
        <v>827.55285171102662</v>
      </c>
      <c r="AS20" s="63">
        <f>+((AS18*AS6)+(AS19*AS7))/(AS8)+1</f>
        <v>1018.3794014084507</v>
      </c>
      <c r="AT20" s="63">
        <f>+((AT18*AT6)+(AT19*AT7))/(AT8)</f>
        <v>1144.0344827586207</v>
      </c>
      <c r="AU20" s="63">
        <f>+((AU18*AU6)+(AU19*AU7))/(AU8)</f>
        <v>1001.2034334763948</v>
      </c>
      <c r="AV20" s="63">
        <f>+((AV18*AV6)+(AV19*AV7))/(AV8)</f>
        <v>927.72893772893769</v>
      </c>
      <c r="AW20" s="63">
        <f>+((AW18*AW6)+(AW19*AW7))/(AW8)</f>
        <v>896.48629655657066</v>
      </c>
      <c r="AX20" s="63">
        <v>892</v>
      </c>
      <c r="AY20" s="62">
        <v>993</v>
      </c>
      <c r="AZ20" s="63">
        <v>918</v>
      </c>
      <c r="BA20" s="63">
        <f>+((BA18*BA6)+(BA19*BA7))/(BA8)</f>
        <v>912.55703289013297</v>
      </c>
      <c r="BB20" s="64">
        <f>+((BB18*BB6)+(BB19*BB7))/(BB8)</f>
        <v>856.01521438450902</v>
      </c>
      <c r="BC20" s="65">
        <f>+((BC18*BC6)+(BC19*BC7))/(BC8)+1</f>
        <v>897.375</v>
      </c>
      <c r="BD20" s="66">
        <f>+((BD18*BD6)+(BD19*BD7))/(BD8)</f>
        <v>951.99715302491109</v>
      </c>
      <c r="BE20" s="66">
        <f>+((BE18*BE6)+(BE19*BE7))/(BE8)</f>
        <v>938.11893687707641</v>
      </c>
      <c r="BF20" s="67">
        <f>+((BF18*BF6)+(BF19*BF7))/(BF8)</f>
        <v>840.70041039671685</v>
      </c>
      <c r="BG20" s="65">
        <f>+((BG18*BG6)+(BG19*BG7))/(BG8)</f>
        <v>904.30268456375836</v>
      </c>
      <c r="BH20" s="66">
        <f>+((BH18*BH6)+(BH19*BH7))/(BH8)</f>
        <v>984.37864077669906</v>
      </c>
      <c r="BI20" s="63">
        <v>910</v>
      </c>
      <c r="BJ20" s="66">
        <v>952</v>
      </c>
      <c r="BK20" s="109">
        <v>1102</v>
      </c>
      <c r="BL20" s="110">
        <v>1019</v>
      </c>
      <c r="BM20" s="110">
        <v>1004</v>
      </c>
      <c r="BN20" s="111">
        <v>973</v>
      </c>
      <c r="BO20" s="109">
        <v>1141</v>
      </c>
      <c r="BP20" s="110">
        <v>1763</v>
      </c>
      <c r="BQ20" s="189">
        <v>2577</v>
      </c>
      <c r="BR20" s="110">
        <v>3020</v>
      </c>
      <c r="BS20" s="109">
        <v>21679</v>
      </c>
      <c r="BT20" s="110">
        <v>8513</v>
      </c>
      <c r="BU20" s="110">
        <v>3492</v>
      </c>
      <c r="BV20" s="111">
        <v>3321</v>
      </c>
      <c r="BW20" s="110">
        <v>3694</v>
      </c>
      <c r="BX20" s="110">
        <v>7978</v>
      </c>
      <c r="BY20" s="110">
        <v>3683</v>
      </c>
      <c r="BZ20" s="110">
        <v>3410</v>
      </c>
      <c r="CA20" s="109">
        <v>3765</v>
      </c>
      <c r="CB20" s="110">
        <v>3436</v>
      </c>
      <c r="CC20" s="110">
        <v>2535</v>
      </c>
      <c r="CD20" s="111">
        <v>2162</v>
      </c>
      <c r="CE20" s="109">
        <v>3005</v>
      </c>
      <c r="CF20" s="110">
        <v>183800</v>
      </c>
      <c r="CG20" s="110">
        <v>4061</v>
      </c>
      <c r="CH20" s="111">
        <v>2313</v>
      </c>
      <c r="CI20" s="109">
        <v>2835</v>
      </c>
      <c r="CJ20" s="110">
        <v>4365</v>
      </c>
      <c r="CK20" s="110">
        <v>6650</v>
      </c>
      <c r="CL20" s="111">
        <v>5496</v>
      </c>
      <c r="CM20" s="109">
        <v>5492</v>
      </c>
      <c r="CN20" s="110">
        <v>5360</v>
      </c>
      <c r="CO20" s="110">
        <v>5973</v>
      </c>
      <c r="CP20" s="111">
        <v>5928</v>
      </c>
      <c r="CQ20" s="109">
        <v>6819</v>
      </c>
      <c r="CR20" s="110">
        <v>6690</v>
      </c>
      <c r="CS20" s="110">
        <v>7055</v>
      </c>
      <c r="CT20" s="111">
        <v>7543</v>
      </c>
      <c r="CU20" s="109">
        <v>7673</v>
      </c>
      <c r="CV20" s="110">
        <v>6101</v>
      </c>
      <c r="CW20" s="110"/>
      <c r="CX20" s="111"/>
      <c r="CY20" s="347"/>
      <c r="CZ20" s="347"/>
      <c r="DA20" s="347"/>
      <c r="DB20" s="347"/>
      <c r="DC20" s="347"/>
      <c r="DD20" s="347"/>
      <c r="DE20" s="347"/>
      <c r="DF20" s="347"/>
      <c r="DG20" s="347"/>
      <c r="DH20" s="347"/>
      <c r="DI20" s="347"/>
      <c r="DJ20" s="347"/>
      <c r="DK20" s="347"/>
      <c r="DL20" s="347"/>
      <c r="DM20" s="347"/>
      <c r="DN20" s="347"/>
      <c r="DO20" s="347"/>
    </row>
    <row r="21" spans="1:119" x14ac:dyDescent="0.25">
      <c r="A21" s="225"/>
      <c r="B21" s="292" t="s">
        <v>134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10"/>
      <c r="AZ21" s="8"/>
      <c r="BA21" s="8"/>
      <c r="BB21" s="9"/>
      <c r="BC21" s="34"/>
      <c r="BD21" s="32"/>
      <c r="BE21" s="32"/>
      <c r="BF21" s="33"/>
      <c r="BG21" s="34"/>
      <c r="BH21" s="32"/>
      <c r="BI21" s="8"/>
      <c r="BK21" s="225"/>
      <c r="BL21" s="208"/>
      <c r="BM21" s="208"/>
      <c r="BN21" s="227"/>
      <c r="BO21" s="288"/>
      <c r="BP21" s="293"/>
      <c r="BQ21" s="208"/>
      <c r="BR21" s="293"/>
      <c r="BS21" s="294"/>
      <c r="BT21" s="293"/>
      <c r="BU21" s="293"/>
      <c r="BV21" s="295"/>
      <c r="BW21" s="293"/>
      <c r="BX21" s="293"/>
      <c r="BY21" s="293"/>
      <c r="BZ21" s="293"/>
      <c r="CA21" s="294"/>
      <c r="CB21" s="293"/>
      <c r="CC21" s="293"/>
      <c r="CD21" s="295"/>
      <c r="CE21" s="294"/>
      <c r="CF21" s="293"/>
      <c r="CG21" s="293"/>
      <c r="CH21" s="295"/>
      <c r="CI21" s="294"/>
      <c r="CJ21" s="293"/>
      <c r="CK21" s="293"/>
      <c r="CL21" s="295"/>
      <c r="CM21" s="294"/>
      <c r="CN21" s="293"/>
      <c r="CO21" s="293"/>
      <c r="CP21" s="295"/>
      <c r="CQ21" s="294"/>
      <c r="CR21" s="293"/>
      <c r="CS21" s="293"/>
      <c r="CT21" s="295"/>
      <c r="CU21" s="294"/>
      <c r="CV21" s="293"/>
      <c r="CW21" s="293"/>
      <c r="CX21" s="295"/>
    </row>
    <row r="22" spans="1:119" x14ac:dyDescent="0.25">
      <c r="A22" s="225"/>
      <c r="B22" s="227" t="s">
        <v>59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3" t="s">
        <v>60</v>
      </c>
      <c r="N22" s="2"/>
      <c r="O22" s="2"/>
      <c r="P22" s="2"/>
      <c r="Q22" s="2"/>
      <c r="R22" s="2"/>
      <c r="S22" s="2"/>
      <c r="T22" s="4"/>
      <c r="U22" s="59">
        <f>143.7-U23-U24</f>
        <v>85.399999999999991</v>
      </c>
      <c r="V22" s="59">
        <f>177.4-V23-V24</f>
        <v>94.4</v>
      </c>
      <c r="W22" s="59">
        <f>195.9-W23-W24</f>
        <v>79.5</v>
      </c>
      <c r="X22" s="59">
        <f>298-X23-X24</f>
        <v>83</v>
      </c>
      <c r="Y22" s="59">
        <f>219.3-Y23-Y24</f>
        <v>94.700000000000017</v>
      </c>
      <c r="Z22" s="59">
        <f>267.3-Z23-Z24</f>
        <v>93.5</v>
      </c>
      <c r="AA22" s="168">
        <f>226.9-AA23-AA24</f>
        <v>99.600000000000009</v>
      </c>
      <c r="AB22" s="168">
        <f>302.9-AB23-AB24</f>
        <v>96.599999999999966</v>
      </c>
      <c r="AC22" s="168">
        <f>207.7-AC23-AC24</f>
        <v>75.699999999999989</v>
      </c>
      <c r="AD22" s="168">
        <f>253.7-AD23-AD24</f>
        <v>99.6</v>
      </c>
      <c r="AE22" s="168">
        <f>261.6-AE23-AE24</f>
        <v>119.50000000000003</v>
      </c>
      <c r="AF22" s="168">
        <f>311.4-AF23-AF24</f>
        <v>134</v>
      </c>
      <c r="AG22" s="168">
        <f>272.2-AG23-AG24</f>
        <v>145.6</v>
      </c>
      <c r="AH22" s="168">
        <f>274-AH23-AH24</f>
        <v>147.5</v>
      </c>
      <c r="AI22" s="168">
        <f>259.5-AI23-AI24</f>
        <v>165.6</v>
      </c>
      <c r="AJ22" s="168">
        <f>333.9-AJ23-AJ24</f>
        <v>183.89999999999998</v>
      </c>
      <c r="AK22" s="168">
        <f>343.9-AK23-AK24</f>
        <v>215.29999999999998</v>
      </c>
      <c r="AL22" s="15">
        <v>198.7</v>
      </c>
      <c r="AM22" s="15">
        <v>198</v>
      </c>
      <c r="AN22" s="15">
        <v>239.3</v>
      </c>
      <c r="AO22" s="15">
        <v>253.3</v>
      </c>
      <c r="AP22" s="15">
        <v>237.5</v>
      </c>
      <c r="AQ22" s="15">
        <v>234.4</v>
      </c>
      <c r="AR22" s="15">
        <v>260.5</v>
      </c>
      <c r="AS22" s="15">
        <v>221.2</v>
      </c>
      <c r="AT22" s="15">
        <v>133.5</v>
      </c>
      <c r="AU22" s="15">
        <v>175.8</v>
      </c>
      <c r="AV22" s="15">
        <v>165</v>
      </c>
      <c r="AW22" s="15">
        <v>184.6</v>
      </c>
      <c r="AX22" s="15">
        <v>177.4</v>
      </c>
      <c r="AY22" s="14">
        <v>169.1</v>
      </c>
      <c r="AZ22" s="15">
        <v>171.1</v>
      </c>
      <c r="BA22" s="15">
        <v>172.2</v>
      </c>
      <c r="BB22" s="16">
        <v>171.2</v>
      </c>
      <c r="BC22" s="29">
        <v>156.30000000000001</v>
      </c>
      <c r="BD22" s="30">
        <v>170.6</v>
      </c>
      <c r="BE22" s="30">
        <v>203.8</v>
      </c>
      <c r="BF22" s="31">
        <v>196.3</v>
      </c>
      <c r="BG22" s="29">
        <v>191.1</v>
      </c>
      <c r="BH22" s="30">
        <v>188.7</v>
      </c>
      <c r="BI22" s="15">
        <v>214.4</v>
      </c>
      <c r="BJ22" s="30">
        <v>184.8</v>
      </c>
      <c r="BK22" s="225">
        <v>201.8</v>
      </c>
      <c r="BL22" s="208">
        <v>217.6</v>
      </c>
      <c r="BM22" s="221">
        <v>242.2</v>
      </c>
      <c r="BN22" s="227">
        <v>214.5</v>
      </c>
      <c r="BO22" s="288">
        <v>198.8</v>
      </c>
      <c r="BP22" s="243">
        <v>220.3</v>
      </c>
      <c r="BQ22" s="321">
        <v>232.3</v>
      </c>
      <c r="BR22" s="243">
        <v>165.7</v>
      </c>
      <c r="BS22" s="288">
        <v>1.4</v>
      </c>
      <c r="BT22" s="277">
        <v>80</v>
      </c>
      <c r="BU22" s="277">
        <v>216.8</v>
      </c>
      <c r="BV22" s="326">
        <v>214.7</v>
      </c>
      <c r="BW22" s="243">
        <v>204</v>
      </c>
      <c r="BX22" s="359">
        <v>71</v>
      </c>
      <c r="BY22" s="359">
        <v>233</v>
      </c>
      <c r="BZ22" s="359">
        <v>234</v>
      </c>
      <c r="CA22" s="360">
        <v>272</v>
      </c>
      <c r="CB22" s="359">
        <v>291</v>
      </c>
      <c r="CC22" s="359">
        <v>324</v>
      </c>
      <c r="CD22" s="454">
        <v>290</v>
      </c>
      <c r="CE22" s="360">
        <v>252</v>
      </c>
      <c r="CF22" s="359">
        <v>0</v>
      </c>
      <c r="CG22" s="359">
        <v>208</v>
      </c>
      <c r="CH22" s="454">
        <v>334</v>
      </c>
      <c r="CI22" s="360">
        <v>349</v>
      </c>
      <c r="CJ22" s="359">
        <v>411</v>
      </c>
      <c r="CK22" s="359">
        <v>339</v>
      </c>
      <c r="CL22" s="454">
        <v>362</v>
      </c>
      <c r="CM22" s="360">
        <v>398</v>
      </c>
      <c r="CN22" s="359">
        <v>420</v>
      </c>
      <c r="CO22" s="359">
        <v>452</v>
      </c>
      <c r="CP22" s="454">
        <v>392</v>
      </c>
      <c r="CQ22" s="360">
        <v>405</v>
      </c>
      <c r="CR22" s="359">
        <v>417</v>
      </c>
      <c r="CS22" s="359">
        <v>473</v>
      </c>
      <c r="CT22" s="454">
        <v>405</v>
      </c>
      <c r="CU22" s="360">
        <v>477</v>
      </c>
      <c r="CV22" s="359">
        <v>517</v>
      </c>
      <c r="CW22" s="359"/>
      <c r="CX22" s="454"/>
    </row>
    <row r="23" spans="1:119" x14ac:dyDescent="0.25">
      <c r="A23" s="225"/>
      <c r="B23" s="227" t="s">
        <v>61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9" t="s">
        <v>62</v>
      </c>
      <c r="S23" s="59"/>
      <c r="T23" s="59"/>
      <c r="U23" s="59">
        <v>58.3</v>
      </c>
      <c r="V23" s="59">
        <v>83</v>
      </c>
      <c r="W23" s="59">
        <v>116.4</v>
      </c>
      <c r="X23" s="59">
        <v>215</v>
      </c>
      <c r="Y23" s="59">
        <v>124.6</v>
      </c>
      <c r="Z23" s="59">
        <v>173.8</v>
      </c>
      <c r="AA23" s="168">
        <v>127.3</v>
      </c>
      <c r="AB23" s="168">
        <f>289.6-83.3</f>
        <v>206.3</v>
      </c>
      <c r="AC23" s="168">
        <v>132</v>
      </c>
      <c r="AD23" s="168">
        <f>154.1</f>
        <v>154.1</v>
      </c>
      <c r="AE23" s="168">
        <v>142.1</v>
      </c>
      <c r="AF23" s="168">
        <f>221.2-43.8</f>
        <v>177.39999999999998</v>
      </c>
      <c r="AG23" s="168">
        <v>126.6</v>
      </c>
      <c r="AH23" s="168">
        <v>126.5</v>
      </c>
      <c r="AI23" s="168">
        <v>93.9</v>
      </c>
      <c r="AJ23" s="168">
        <f>145.5+4.5</f>
        <v>150</v>
      </c>
      <c r="AK23" s="168">
        <v>128.6</v>
      </c>
      <c r="AL23" s="15">
        <f>77.8+4.1</f>
        <v>81.899999999999991</v>
      </c>
      <c r="AM23" s="15">
        <v>32</v>
      </c>
      <c r="AN23" s="15">
        <v>41.8</v>
      </c>
      <c r="AO23" s="15">
        <v>98.9</v>
      </c>
      <c r="AP23" s="15">
        <v>147.80000000000001</v>
      </c>
      <c r="AQ23" s="15">
        <v>47.4</v>
      </c>
      <c r="AR23" s="15">
        <v>16.7</v>
      </c>
      <c r="AS23" s="15">
        <v>109</v>
      </c>
      <c r="AT23" s="15">
        <v>68.2</v>
      </c>
      <c r="AU23" s="15">
        <v>55.2</v>
      </c>
      <c r="AV23" s="15">
        <v>66.7</v>
      </c>
      <c r="AW23" s="15">
        <v>88.4</v>
      </c>
      <c r="AX23" s="15">
        <v>109.9</v>
      </c>
      <c r="AY23" s="14">
        <v>83.2</v>
      </c>
      <c r="AZ23" s="15">
        <v>94.5</v>
      </c>
      <c r="BA23" s="15">
        <v>131</v>
      </c>
      <c r="BB23" s="16">
        <v>156.6</v>
      </c>
      <c r="BC23" s="29">
        <v>28.6</v>
      </c>
      <c r="BD23" s="30">
        <v>55.5</v>
      </c>
      <c r="BE23" s="30">
        <v>66.400000000000006</v>
      </c>
      <c r="BF23" s="31">
        <v>98.7</v>
      </c>
      <c r="BG23" s="29">
        <v>19.7</v>
      </c>
      <c r="BH23" s="30">
        <v>51.8</v>
      </c>
      <c r="BI23" s="15">
        <v>53.7</v>
      </c>
      <c r="BJ23" s="30">
        <v>93.3</v>
      </c>
      <c r="BK23" s="210">
        <v>38.6</v>
      </c>
      <c r="BL23" s="221">
        <v>45.8</v>
      </c>
      <c r="BM23" s="221">
        <v>58.5</v>
      </c>
      <c r="BN23" s="222">
        <v>92.1</v>
      </c>
      <c r="BO23" s="210">
        <v>28.2</v>
      </c>
      <c r="BP23" s="221">
        <v>55.9</v>
      </c>
      <c r="BQ23" s="321">
        <v>47.4</v>
      </c>
      <c r="BR23" s="221">
        <v>96.6</v>
      </c>
      <c r="BS23" s="210">
        <v>6.5</v>
      </c>
      <c r="BT23" s="221">
        <v>12</v>
      </c>
      <c r="BU23" s="221">
        <v>65.3</v>
      </c>
      <c r="BV23" s="222">
        <v>79.2</v>
      </c>
      <c r="BW23" s="214">
        <v>61</v>
      </c>
      <c r="BX23" s="214">
        <v>18</v>
      </c>
      <c r="BY23" s="359">
        <v>55</v>
      </c>
      <c r="BZ23" s="359">
        <v>53</v>
      </c>
      <c r="CA23" s="213">
        <v>41</v>
      </c>
      <c r="CB23" s="214">
        <v>68</v>
      </c>
      <c r="CC23" s="214">
        <v>94</v>
      </c>
      <c r="CD23" s="259">
        <v>119</v>
      </c>
      <c r="CE23" s="213">
        <v>61</v>
      </c>
      <c r="CF23" s="214">
        <v>35</v>
      </c>
      <c r="CG23" s="214">
        <v>109</v>
      </c>
      <c r="CH23" s="259">
        <v>154</v>
      </c>
      <c r="CI23" s="213">
        <v>80</v>
      </c>
      <c r="CJ23" s="214">
        <v>110</v>
      </c>
      <c r="CK23" s="214">
        <v>131</v>
      </c>
      <c r="CL23" s="259">
        <v>169</v>
      </c>
      <c r="CM23" s="213">
        <v>65</v>
      </c>
      <c r="CN23" s="214">
        <v>113</v>
      </c>
      <c r="CO23" s="214">
        <v>106</v>
      </c>
      <c r="CP23" s="259">
        <v>96</v>
      </c>
      <c r="CQ23" s="213">
        <v>50</v>
      </c>
      <c r="CR23" s="214">
        <v>99</v>
      </c>
      <c r="CS23" s="214">
        <v>112</v>
      </c>
      <c r="CT23" s="259">
        <v>153</v>
      </c>
      <c r="CU23" s="213">
        <v>52</v>
      </c>
      <c r="CV23" s="214">
        <v>127</v>
      </c>
      <c r="CW23" s="214"/>
      <c r="CX23" s="259"/>
    </row>
    <row r="24" spans="1:119" x14ac:dyDescent="0.25">
      <c r="A24" s="225"/>
      <c r="B24" s="227" t="s">
        <v>63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4">
        <v>0</v>
      </c>
      <c r="AZ24" s="15">
        <v>0</v>
      </c>
      <c r="BA24" s="15">
        <v>0</v>
      </c>
      <c r="BB24" s="16">
        <v>0</v>
      </c>
      <c r="BC24" s="29">
        <v>0</v>
      </c>
      <c r="BD24" s="30">
        <v>4.0999999999999996</v>
      </c>
      <c r="BE24" s="30">
        <v>1.9</v>
      </c>
      <c r="BF24" s="31">
        <v>12</v>
      </c>
      <c r="BG24" s="29">
        <v>8.9</v>
      </c>
      <c r="BH24" s="30">
        <v>8</v>
      </c>
      <c r="BI24" s="15">
        <v>18.3</v>
      </c>
      <c r="BJ24" s="30">
        <v>18.899999999999999</v>
      </c>
      <c r="BK24" s="210">
        <v>19.399999999999999</v>
      </c>
      <c r="BL24" s="221">
        <v>11.1</v>
      </c>
      <c r="BM24" s="221">
        <v>12.6</v>
      </c>
      <c r="BN24" s="222">
        <v>1.3</v>
      </c>
      <c r="BO24" s="210">
        <v>0</v>
      </c>
      <c r="BP24" s="221">
        <v>0.3</v>
      </c>
      <c r="BQ24" s="321">
        <v>0.1</v>
      </c>
      <c r="BR24" s="221">
        <v>0</v>
      </c>
      <c r="BS24" s="210">
        <v>0</v>
      </c>
      <c r="BT24" s="221">
        <v>0</v>
      </c>
      <c r="BU24" s="221">
        <v>0</v>
      </c>
      <c r="BV24" s="222">
        <v>0</v>
      </c>
      <c r="BW24" s="214"/>
      <c r="BX24" s="214"/>
      <c r="BY24" s="359"/>
      <c r="BZ24" s="359"/>
      <c r="CA24" s="213"/>
      <c r="CB24" s="214"/>
      <c r="CC24" s="214"/>
      <c r="CD24" s="259"/>
      <c r="CE24" s="213"/>
      <c r="CF24" s="214"/>
      <c r="CG24" s="214"/>
      <c r="CH24" s="259"/>
      <c r="CI24" s="213"/>
      <c r="CJ24" s="214"/>
      <c r="CK24" s="214"/>
      <c r="CL24" s="259"/>
      <c r="CM24" s="213"/>
      <c r="CN24" s="214"/>
      <c r="CO24" s="214"/>
      <c r="CP24" s="259"/>
      <c r="CQ24" s="213"/>
      <c r="CR24" s="214"/>
      <c r="CS24" s="214"/>
      <c r="CT24" s="259"/>
      <c r="CU24" s="213"/>
      <c r="CV24" s="214"/>
      <c r="CW24" s="214"/>
      <c r="CX24" s="259"/>
    </row>
    <row r="25" spans="1:119" s="1" customFormat="1" x14ac:dyDescent="0.25">
      <c r="A25" s="306"/>
      <c r="B25" s="290" t="s">
        <v>64</v>
      </c>
      <c r="C25" s="78">
        <v>86.6</v>
      </c>
      <c r="D25" s="78">
        <v>146.6</v>
      </c>
      <c r="E25" s="78">
        <v>124.1</v>
      </c>
      <c r="F25" s="78">
        <v>130.9</v>
      </c>
      <c r="G25" s="78">
        <v>124.8</v>
      </c>
      <c r="H25" s="78">
        <v>193</v>
      </c>
      <c r="I25" s="78">
        <v>87.9</v>
      </c>
      <c r="J25" s="78">
        <v>81.7</v>
      </c>
      <c r="K25" s="78">
        <v>29</v>
      </c>
      <c r="L25" s="78">
        <v>39.700000000000003</v>
      </c>
      <c r="M25" s="78">
        <v>30.7</v>
      </c>
      <c r="N25" s="78">
        <v>41.7</v>
      </c>
      <c r="O25" s="78">
        <v>36.9</v>
      </c>
      <c r="P25" s="78">
        <v>74.8</v>
      </c>
      <c r="Q25" s="78">
        <v>46.7</v>
      </c>
      <c r="R25" s="78">
        <v>60.6</v>
      </c>
      <c r="S25" s="78">
        <v>54.3</v>
      </c>
      <c r="T25" s="78">
        <v>87.1</v>
      </c>
      <c r="U25" s="78">
        <f t="shared" ref="U25:BN25" si="34">+U24+U23+U22</f>
        <v>143.69999999999999</v>
      </c>
      <c r="V25" s="78">
        <f t="shared" si="34"/>
        <v>177.4</v>
      </c>
      <c r="W25" s="78">
        <f t="shared" si="34"/>
        <v>195.9</v>
      </c>
      <c r="X25" s="78">
        <f t="shared" si="34"/>
        <v>298</v>
      </c>
      <c r="Y25" s="78">
        <f t="shared" si="34"/>
        <v>219.3</v>
      </c>
      <c r="Z25" s="78">
        <f t="shared" si="34"/>
        <v>267.3</v>
      </c>
      <c r="AA25" s="75">
        <f t="shared" si="34"/>
        <v>226.9</v>
      </c>
      <c r="AB25" s="75">
        <f t="shared" si="34"/>
        <v>302.89999999999998</v>
      </c>
      <c r="AC25" s="75">
        <f t="shared" si="34"/>
        <v>207.7</v>
      </c>
      <c r="AD25" s="75">
        <f t="shared" si="34"/>
        <v>253.7</v>
      </c>
      <c r="AE25" s="75">
        <f t="shared" si="34"/>
        <v>261.60000000000002</v>
      </c>
      <c r="AF25" s="75">
        <f t="shared" si="34"/>
        <v>311.39999999999998</v>
      </c>
      <c r="AG25" s="75">
        <f t="shared" si="34"/>
        <v>272.2</v>
      </c>
      <c r="AH25" s="75">
        <f t="shared" si="34"/>
        <v>274</v>
      </c>
      <c r="AI25" s="75">
        <f t="shared" si="34"/>
        <v>259.5</v>
      </c>
      <c r="AJ25" s="75">
        <f t="shared" si="34"/>
        <v>333.9</v>
      </c>
      <c r="AK25" s="75">
        <f t="shared" si="34"/>
        <v>343.9</v>
      </c>
      <c r="AL25" s="75">
        <f t="shared" si="34"/>
        <v>280.59999999999997</v>
      </c>
      <c r="AM25" s="75">
        <f t="shared" si="34"/>
        <v>230</v>
      </c>
      <c r="AN25" s="75">
        <f t="shared" si="34"/>
        <v>281.10000000000002</v>
      </c>
      <c r="AO25" s="75">
        <f t="shared" si="34"/>
        <v>352.20000000000005</v>
      </c>
      <c r="AP25" s="75">
        <f t="shared" si="34"/>
        <v>385.3</v>
      </c>
      <c r="AQ25" s="75">
        <f t="shared" si="34"/>
        <v>281.8</v>
      </c>
      <c r="AR25" s="75">
        <f t="shared" si="34"/>
        <v>277.2</v>
      </c>
      <c r="AS25" s="75">
        <f t="shared" si="34"/>
        <v>330.2</v>
      </c>
      <c r="AT25" s="75">
        <f t="shared" si="34"/>
        <v>201.7</v>
      </c>
      <c r="AU25" s="75">
        <f t="shared" si="34"/>
        <v>231</v>
      </c>
      <c r="AV25" s="75">
        <f t="shared" si="34"/>
        <v>231.7</v>
      </c>
      <c r="AW25" s="75">
        <f t="shared" si="34"/>
        <v>273</v>
      </c>
      <c r="AX25" s="75">
        <f t="shared" si="34"/>
        <v>287.3</v>
      </c>
      <c r="AY25" s="74">
        <f t="shared" si="34"/>
        <v>252.3</v>
      </c>
      <c r="AZ25" s="75">
        <f t="shared" si="34"/>
        <v>265.60000000000002</v>
      </c>
      <c r="BA25" s="75">
        <f t="shared" si="34"/>
        <v>303.2</v>
      </c>
      <c r="BB25" s="76">
        <f t="shared" si="34"/>
        <v>327.79999999999995</v>
      </c>
      <c r="BC25" s="77">
        <f t="shared" si="34"/>
        <v>184.9</v>
      </c>
      <c r="BD25" s="78">
        <f t="shared" si="34"/>
        <v>230.2</v>
      </c>
      <c r="BE25" s="78">
        <f t="shared" si="34"/>
        <v>272.10000000000002</v>
      </c>
      <c r="BF25" s="79">
        <f t="shared" si="34"/>
        <v>307</v>
      </c>
      <c r="BG25" s="77">
        <f t="shared" si="34"/>
        <v>219.7</v>
      </c>
      <c r="BH25" s="78">
        <f t="shared" si="34"/>
        <v>248.5</v>
      </c>
      <c r="BI25" s="78">
        <f t="shared" si="34"/>
        <v>286.39999999999998</v>
      </c>
      <c r="BJ25" s="78">
        <f t="shared" si="34"/>
        <v>297</v>
      </c>
      <c r="BK25" s="115">
        <f t="shared" si="34"/>
        <v>259.8</v>
      </c>
      <c r="BL25" s="116">
        <f t="shared" si="34"/>
        <v>274.5</v>
      </c>
      <c r="BM25" s="116">
        <f t="shared" si="34"/>
        <v>313.29999999999995</v>
      </c>
      <c r="BN25" s="117">
        <f t="shared" si="34"/>
        <v>307.89999999999998</v>
      </c>
      <c r="BO25" s="115">
        <f t="shared" ref="BO25:BV25" si="35">+BO24+BO23+BO22</f>
        <v>227</v>
      </c>
      <c r="BP25" s="116">
        <f t="shared" si="35"/>
        <v>276.5</v>
      </c>
      <c r="BQ25" s="191">
        <f t="shared" si="35"/>
        <v>279.8</v>
      </c>
      <c r="BR25" s="116">
        <f t="shared" si="35"/>
        <v>262.29999999999995</v>
      </c>
      <c r="BS25" s="115">
        <f t="shared" si="35"/>
        <v>7.9</v>
      </c>
      <c r="BT25" s="116">
        <f t="shared" si="35"/>
        <v>92</v>
      </c>
      <c r="BU25" s="116">
        <f t="shared" si="35"/>
        <v>282.10000000000002</v>
      </c>
      <c r="BV25" s="117">
        <f t="shared" si="35"/>
        <v>293.89999999999998</v>
      </c>
      <c r="BW25" s="110">
        <f t="shared" ref="BW25:BX25" si="36">+BW24+BW23+BW22</f>
        <v>265</v>
      </c>
      <c r="BX25" s="110">
        <f t="shared" si="36"/>
        <v>89</v>
      </c>
      <c r="BY25" s="416">
        <f t="shared" ref="BY25:BZ25" si="37">+BY24+BY23+BY22</f>
        <v>288</v>
      </c>
      <c r="BZ25" s="416">
        <f t="shared" si="37"/>
        <v>287</v>
      </c>
      <c r="CA25" s="109">
        <v>312</v>
      </c>
      <c r="CB25" s="110">
        <f t="shared" ref="CB25:CC25" si="38">+CB24+CB23+CB22</f>
        <v>359</v>
      </c>
      <c r="CC25" s="110">
        <f t="shared" si="38"/>
        <v>418</v>
      </c>
      <c r="CD25" s="111">
        <f t="shared" ref="CD25:CE25" si="39">+CD24+CD23+CD22</f>
        <v>409</v>
      </c>
      <c r="CE25" s="110">
        <f t="shared" si="39"/>
        <v>313</v>
      </c>
      <c r="CF25" s="110">
        <f t="shared" ref="CF25:CI25" si="40">+CF24+CF23+CF22</f>
        <v>35</v>
      </c>
      <c r="CG25" s="110">
        <f t="shared" si="40"/>
        <v>317</v>
      </c>
      <c r="CH25" s="111">
        <f t="shared" si="40"/>
        <v>488</v>
      </c>
      <c r="CI25" s="110">
        <f t="shared" si="40"/>
        <v>429</v>
      </c>
      <c r="CJ25" s="110">
        <f t="shared" ref="CJ25:CP25" si="41">+CJ24+CJ23+CJ22</f>
        <v>521</v>
      </c>
      <c r="CK25" s="110">
        <f t="shared" si="41"/>
        <v>470</v>
      </c>
      <c r="CL25" s="111">
        <f t="shared" si="41"/>
        <v>531</v>
      </c>
      <c r="CM25" s="110">
        <f t="shared" si="41"/>
        <v>463</v>
      </c>
      <c r="CN25" s="110">
        <f t="shared" si="41"/>
        <v>533</v>
      </c>
      <c r="CO25" s="110">
        <f t="shared" si="41"/>
        <v>558</v>
      </c>
      <c r="CP25" s="111">
        <f t="shared" si="41"/>
        <v>488</v>
      </c>
      <c r="CQ25" s="110">
        <f t="shared" ref="CQ25:CT25" si="42">+CQ24+CQ23+CQ22</f>
        <v>455</v>
      </c>
      <c r="CR25" s="110">
        <f t="shared" si="42"/>
        <v>516</v>
      </c>
      <c r="CS25" s="110">
        <f t="shared" si="42"/>
        <v>585</v>
      </c>
      <c r="CT25" s="111">
        <f t="shared" si="42"/>
        <v>558</v>
      </c>
      <c r="CU25" s="110">
        <f t="shared" ref="CU25:CX25" si="43">+CU24+CU23+CU22</f>
        <v>529</v>
      </c>
      <c r="CV25" s="110">
        <f t="shared" si="43"/>
        <v>644</v>
      </c>
      <c r="CW25" s="110">
        <f t="shared" si="43"/>
        <v>0</v>
      </c>
      <c r="CX25" s="111">
        <f t="shared" si="43"/>
        <v>0</v>
      </c>
      <c r="CY25" s="347"/>
      <c r="CZ25" s="347"/>
      <c r="DA25" s="347"/>
      <c r="DB25" s="347"/>
      <c r="DC25" s="347"/>
      <c r="DD25" s="347"/>
      <c r="DE25" s="347"/>
      <c r="DF25" s="347"/>
      <c r="DG25" s="347"/>
      <c r="DH25" s="347"/>
      <c r="DI25" s="347"/>
      <c r="DJ25" s="347"/>
      <c r="DK25" s="347"/>
      <c r="DL25" s="347"/>
      <c r="DM25" s="347"/>
      <c r="DN25" s="347"/>
      <c r="DO25" s="347"/>
    </row>
    <row r="26" spans="1:119" x14ac:dyDescent="0.25">
      <c r="A26" s="225"/>
      <c r="B26" s="227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56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10"/>
      <c r="AZ26" s="8"/>
      <c r="BA26" s="8"/>
      <c r="BB26" s="9"/>
      <c r="BC26" s="34"/>
      <c r="BD26" s="32"/>
      <c r="BE26" s="32"/>
      <c r="BF26" s="33"/>
      <c r="BG26" s="34"/>
      <c r="BH26" s="32"/>
      <c r="BI26" s="8"/>
      <c r="BK26" s="225"/>
      <c r="BL26" s="208"/>
      <c r="BM26" s="208"/>
      <c r="BN26" s="227"/>
      <c r="BO26" s="288"/>
      <c r="BP26" s="208"/>
      <c r="BQ26" s="208"/>
      <c r="BR26" s="208"/>
      <c r="BS26" s="225"/>
      <c r="BT26" s="208"/>
      <c r="BU26" s="208"/>
      <c r="BV26" s="227"/>
      <c r="BW26" s="208"/>
      <c r="BX26" s="208"/>
      <c r="BY26" s="208"/>
      <c r="BZ26" s="208"/>
      <c r="CA26" s="225"/>
      <c r="CB26" s="208"/>
      <c r="CC26" s="208"/>
      <c r="CD26" s="227"/>
      <c r="CE26" s="225"/>
      <c r="CF26" s="208"/>
      <c r="CG26" s="208"/>
      <c r="CH26" s="227"/>
      <c r="CI26" s="225"/>
      <c r="CJ26" s="208"/>
      <c r="CK26" s="208"/>
      <c r="CL26" s="227"/>
      <c r="CM26" s="225"/>
      <c r="CN26" s="208"/>
      <c r="CO26" s="208"/>
      <c r="CP26" s="227"/>
      <c r="CQ26" s="225"/>
      <c r="CR26" s="208"/>
      <c r="CS26" s="208"/>
      <c r="CT26" s="227"/>
      <c r="CU26" s="225"/>
      <c r="CV26" s="208"/>
      <c r="CW26" s="208"/>
      <c r="CX26" s="227"/>
    </row>
    <row r="27" spans="1:119" x14ac:dyDescent="0.25">
      <c r="A27" s="225"/>
      <c r="B27" s="292" t="s">
        <v>135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60" t="s">
        <v>65</v>
      </c>
      <c r="V27" s="60"/>
      <c r="W27" s="60"/>
      <c r="X27" s="32"/>
      <c r="Y27" s="32"/>
      <c r="Z27" s="32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10"/>
      <c r="AZ27" s="8"/>
      <c r="BA27" s="8"/>
      <c r="BB27" s="9"/>
      <c r="BC27" s="34"/>
      <c r="BD27" s="32"/>
      <c r="BE27" s="32"/>
      <c r="BF27" s="33"/>
      <c r="BG27" s="34"/>
      <c r="BH27" s="32"/>
      <c r="BI27" s="8"/>
      <c r="BK27" s="225"/>
      <c r="BL27" s="208"/>
      <c r="BM27" s="208"/>
      <c r="BN27" s="227"/>
      <c r="BO27" s="288"/>
      <c r="BP27" s="208"/>
      <c r="BQ27" s="208"/>
      <c r="BR27" s="208"/>
      <c r="BS27" s="225"/>
      <c r="BT27" s="208"/>
      <c r="BU27" s="208"/>
      <c r="BV27" s="227"/>
      <c r="BW27" s="208"/>
      <c r="BX27" s="208"/>
      <c r="BY27" s="208"/>
      <c r="BZ27" s="208"/>
      <c r="CA27" s="225"/>
      <c r="CB27" s="208"/>
      <c r="CC27" s="208"/>
      <c r="CD27" s="227"/>
      <c r="CE27" s="225"/>
      <c r="CF27" s="208"/>
      <c r="CG27" s="208"/>
      <c r="CH27" s="227"/>
      <c r="CI27" s="225"/>
      <c r="CJ27" s="208"/>
      <c r="CK27" s="208"/>
      <c r="CL27" s="227"/>
      <c r="CM27" s="225"/>
      <c r="CN27" s="208"/>
      <c r="CO27" s="208"/>
      <c r="CP27" s="227"/>
      <c r="CQ27" s="225"/>
      <c r="CR27" s="208"/>
      <c r="CS27" s="208"/>
      <c r="CT27" s="227"/>
      <c r="CU27" s="225"/>
      <c r="CV27" s="208"/>
      <c r="CW27" s="208"/>
      <c r="CX27" s="227"/>
    </row>
    <row r="28" spans="1:119" x14ac:dyDescent="0.25">
      <c r="A28" s="225"/>
      <c r="B28" s="250" t="s">
        <v>66</v>
      </c>
      <c r="C28" s="30">
        <v>1082.8</v>
      </c>
      <c r="D28" s="30">
        <v>1081.3</v>
      </c>
      <c r="E28" s="30">
        <v>1147.0999999999999</v>
      </c>
      <c r="F28" s="30">
        <v>1020.7</v>
      </c>
      <c r="G28" s="30">
        <v>872.9</v>
      </c>
      <c r="H28" s="30">
        <v>770.1</v>
      </c>
      <c r="I28" s="30">
        <v>769.1</v>
      </c>
      <c r="J28" s="30">
        <v>716.3</v>
      </c>
      <c r="K28" s="30">
        <v>795.6</v>
      </c>
      <c r="L28" s="30">
        <v>757.6</v>
      </c>
      <c r="M28" s="30">
        <v>720.7</v>
      </c>
      <c r="N28" s="30">
        <v>760</v>
      </c>
      <c r="O28" s="30">
        <v>746.9</v>
      </c>
      <c r="P28" s="30">
        <v>813.5</v>
      </c>
      <c r="Q28" s="30">
        <v>824.2</v>
      </c>
      <c r="R28" s="30">
        <v>911.8</v>
      </c>
      <c r="S28" s="30">
        <v>960</v>
      </c>
      <c r="T28" s="30">
        <v>1143.5</v>
      </c>
      <c r="U28" s="30">
        <v>1137.0999999999999</v>
      </c>
      <c r="V28" s="30">
        <v>1110.5</v>
      </c>
      <c r="W28" s="30">
        <v>1187.2</v>
      </c>
      <c r="X28" s="30">
        <v>1231.9000000000001</v>
      </c>
      <c r="Y28" s="30">
        <v>1249.8</v>
      </c>
      <c r="Z28" s="30">
        <v>1266.9000000000001</v>
      </c>
      <c r="AA28" s="15">
        <v>1458.8</v>
      </c>
      <c r="AB28" s="15">
        <v>1526.4</v>
      </c>
      <c r="AC28" s="15">
        <v>1389.9</v>
      </c>
      <c r="AD28" s="15">
        <v>1538.9</v>
      </c>
      <c r="AE28" s="15">
        <v>1947.5</v>
      </c>
      <c r="AF28" s="15">
        <v>1669.6</v>
      </c>
      <c r="AG28" s="15">
        <v>1417.1</v>
      </c>
      <c r="AH28" s="15">
        <v>1530.5</v>
      </c>
      <c r="AI28" s="15">
        <v>1221.5999999999999</v>
      </c>
      <c r="AJ28" s="15">
        <v>1674.4</v>
      </c>
      <c r="AK28" s="15">
        <v>1733.8</v>
      </c>
      <c r="AL28" s="15">
        <v>1732.2</v>
      </c>
      <c r="AM28" s="15">
        <v>1392.7</v>
      </c>
      <c r="AN28" s="15">
        <v>1380.8</v>
      </c>
      <c r="AO28" s="15">
        <v>1693.4</v>
      </c>
      <c r="AP28" s="15">
        <v>2072.1</v>
      </c>
      <c r="AQ28" s="15">
        <v>1736.5</v>
      </c>
      <c r="AR28" s="15">
        <v>1821.9</v>
      </c>
      <c r="AS28" s="15">
        <v>1303.3</v>
      </c>
      <c r="AT28" s="15">
        <v>1084.9000000000001</v>
      </c>
      <c r="AU28" s="15">
        <v>1849</v>
      </c>
      <c r="AV28" s="15">
        <v>1962.2</v>
      </c>
      <c r="AW28" s="15">
        <v>2250.8000000000002</v>
      </c>
      <c r="AX28" s="15">
        <v>2100.6999999999998</v>
      </c>
      <c r="AY28" s="14">
        <v>1854.5</v>
      </c>
      <c r="AZ28" s="15">
        <f>3728.3-AY28</f>
        <v>1873.8000000000002</v>
      </c>
      <c r="BA28" s="15">
        <v>2119.5</v>
      </c>
      <c r="BB28" s="16">
        <v>1981.6</v>
      </c>
      <c r="BC28" s="29">
        <v>1807.3</v>
      </c>
      <c r="BD28" s="30">
        <f>3807-BC28</f>
        <v>1999.7</v>
      </c>
      <c r="BE28" s="30">
        <v>2165.6999999999998</v>
      </c>
      <c r="BF28" s="31">
        <v>2263.3000000000002</v>
      </c>
      <c r="BG28" s="29">
        <v>2321.4</v>
      </c>
      <c r="BH28" s="30">
        <v>2430.6999999999998</v>
      </c>
      <c r="BI28" s="15">
        <v>2401.8000000000002</v>
      </c>
      <c r="BJ28" s="30">
        <v>2247.1999999999998</v>
      </c>
      <c r="BK28" s="210">
        <v>1853.4</v>
      </c>
      <c r="BL28" s="221">
        <v>2167.8000000000002</v>
      </c>
      <c r="BM28" s="221">
        <v>2022.7</v>
      </c>
      <c r="BN28" s="222">
        <v>2033</v>
      </c>
      <c r="BO28" s="210">
        <v>1572.1</v>
      </c>
      <c r="BP28" s="221">
        <v>1445.2</v>
      </c>
      <c r="BQ28" s="221">
        <v>1250.8</v>
      </c>
      <c r="BR28" s="221">
        <v>843</v>
      </c>
      <c r="BS28" s="210">
        <v>53</v>
      </c>
      <c r="BT28" s="221">
        <v>243.9</v>
      </c>
      <c r="BU28" s="221">
        <v>1210</v>
      </c>
      <c r="BV28" s="222">
        <v>1796.3</v>
      </c>
      <c r="BW28" s="213">
        <v>1424</v>
      </c>
      <c r="BX28" s="214">
        <v>745</v>
      </c>
      <c r="BY28" s="214">
        <v>2241</v>
      </c>
      <c r="BZ28" s="214">
        <v>2384</v>
      </c>
      <c r="CA28" s="213">
        <v>1885</v>
      </c>
      <c r="CB28" s="214">
        <v>1794</v>
      </c>
      <c r="CC28" s="214">
        <v>2033</v>
      </c>
      <c r="CD28" s="259">
        <v>2220</v>
      </c>
      <c r="CE28" s="213">
        <v>1461</v>
      </c>
      <c r="CF28" s="214">
        <v>9</v>
      </c>
      <c r="CG28" s="214">
        <v>1484</v>
      </c>
      <c r="CH28" s="259">
        <v>1532</v>
      </c>
      <c r="CI28" s="213">
        <v>2065</v>
      </c>
      <c r="CJ28" s="214">
        <v>2511</v>
      </c>
      <c r="CK28" s="214">
        <v>1774</v>
      </c>
      <c r="CL28" s="259">
        <v>1942</v>
      </c>
      <c r="CM28" s="213">
        <v>2097</v>
      </c>
      <c r="CN28" s="214">
        <v>2916</v>
      </c>
      <c r="CO28" s="214">
        <v>2441</v>
      </c>
      <c r="CP28" s="259">
        <v>2394</v>
      </c>
      <c r="CQ28" s="213">
        <v>2276</v>
      </c>
      <c r="CR28" s="214">
        <v>3081</v>
      </c>
      <c r="CS28" s="214">
        <v>4194</v>
      </c>
      <c r="CT28" s="259">
        <v>3059</v>
      </c>
      <c r="CU28" s="213">
        <v>3975</v>
      </c>
      <c r="CV28" s="214">
        <v>4086</v>
      </c>
      <c r="CW28" s="214"/>
      <c r="CX28" s="259"/>
    </row>
    <row r="29" spans="1:119" x14ac:dyDescent="0.25">
      <c r="A29" s="225"/>
      <c r="B29" s="250" t="s">
        <v>132</v>
      </c>
      <c r="C29" s="5">
        <v>-564.70000000000005</v>
      </c>
      <c r="D29" s="5">
        <f>-583.7+38.3</f>
        <v>-545.40000000000009</v>
      </c>
      <c r="E29" s="5">
        <f>-611.2-38.3</f>
        <v>-649.5</v>
      </c>
      <c r="F29" s="5">
        <v>-609.1</v>
      </c>
      <c r="G29" s="5">
        <v>-605.9</v>
      </c>
      <c r="H29" s="5">
        <v>-595.79999999999995</v>
      </c>
      <c r="I29" s="5">
        <v>-636.1</v>
      </c>
      <c r="J29" s="5">
        <v>-648</v>
      </c>
      <c r="K29" s="5">
        <v>-637.6</v>
      </c>
      <c r="L29" s="5">
        <v>-636.79999999999995</v>
      </c>
      <c r="M29" s="5">
        <v>-621.9</v>
      </c>
      <c r="N29" s="5">
        <v>-625.1</v>
      </c>
      <c r="O29" s="5">
        <v>-613.9</v>
      </c>
      <c r="P29" s="5">
        <v>-625.4</v>
      </c>
      <c r="Q29" s="5">
        <v>-656</v>
      </c>
      <c r="R29" s="5">
        <v>-674.6</v>
      </c>
      <c r="S29" s="5">
        <v>-680.5</v>
      </c>
      <c r="T29" s="5">
        <v>-703.3</v>
      </c>
      <c r="U29" s="5">
        <v>-650</v>
      </c>
      <c r="V29" s="5">
        <v>-660.5</v>
      </c>
      <c r="W29" s="5">
        <v>-677.3</v>
      </c>
      <c r="X29" s="5">
        <v>-683.7</v>
      </c>
      <c r="Y29" s="5">
        <v>-723.5</v>
      </c>
      <c r="Z29" s="5">
        <v>-744.2</v>
      </c>
      <c r="AA29" s="6">
        <v>-723.3</v>
      </c>
      <c r="AB29" s="6">
        <v>-741.5</v>
      </c>
      <c r="AC29" s="6">
        <v>-880.6</v>
      </c>
      <c r="AD29" s="6">
        <v>-876.8</v>
      </c>
      <c r="AE29" s="6">
        <v>-867.7</v>
      </c>
      <c r="AF29" s="6">
        <v>-905.4</v>
      </c>
      <c r="AG29" s="6">
        <v>-950.1</v>
      </c>
      <c r="AH29" s="6">
        <v>-938.2</v>
      </c>
      <c r="AI29" s="6">
        <v>-925</v>
      </c>
      <c r="AJ29" s="6">
        <v>-1018.8</v>
      </c>
      <c r="AK29" s="6">
        <v>-1038</v>
      </c>
      <c r="AL29" s="6">
        <v>-997.4</v>
      </c>
      <c r="AM29" s="6">
        <v>-931.7</v>
      </c>
      <c r="AN29" s="6">
        <v>-998.2</v>
      </c>
      <c r="AO29" s="6">
        <v>-1018.7</v>
      </c>
      <c r="AP29" s="6">
        <v>-977.7</v>
      </c>
      <c r="AQ29" s="6">
        <v>-1040.8</v>
      </c>
      <c r="AR29" s="6">
        <v>-1088.8</v>
      </c>
      <c r="AS29" s="6">
        <v>-1156</v>
      </c>
      <c r="AT29" s="6">
        <v>-1028.5</v>
      </c>
      <c r="AU29" s="6">
        <v>-1166.4000000000001</v>
      </c>
      <c r="AV29" s="6">
        <v>-1266.9000000000001</v>
      </c>
      <c r="AW29" s="6">
        <v>-1275.5999999999999</v>
      </c>
      <c r="AX29" s="6">
        <v>-1209.9000000000001</v>
      </c>
      <c r="AY29" s="17">
        <v>-1141.8</v>
      </c>
      <c r="AZ29" s="6">
        <f>-2370.5-AY29</f>
        <v>-1228.7</v>
      </c>
      <c r="BA29" s="6">
        <v>-1304.5</v>
      </c>
      <c r="BB29" s="18">
        <v>-1237.3</v>
      </c>
      <c r="BC29" s="38">
        <v>-1255.4000000000001</v>
      </c>
      <c r="BD29" s="5">
        <f>-2593-BC29</f>
        <v>-1337.6</v>
      </c>
      <c r="BE29" s="5">
        <v>-1412.2</v>
      </c>
      <c r="BF29" s="39">
        <v>-1229</v>
      </c>
      <c r="BG29" s="38">
        <v>-1347.4</v>
      </c>
      <c r="BH29" s="5">
        <v>-1420</v>
      </c>
      <c r="BI29" s="5">
        <v>-1459.5</v>
      </c>
      <c r="BJ29" s="5">
        <f>-1339.7</f>
        <v>-1339.7</v>
      </c>
      <c r="BK29" s="276">
        <f>-1543.8</f>
        <v>-1543.8</v>
      </c>
      <c r="BL29" s="244">
        <v>-1561.4</v>
      </c>
      <c r="BM29" s="244">
        <v>-1647.1</v>
      </c>
      <c r="BN29" s="315">
        <v>-1451.1</v>
      </c>
      <c r="BO29" s="276">
        <v>-1499.9</v>
      </c>
      <c r="BP29" s="244">
        <v>-1477.6</v>
      </c>
      <c r="BQ29" s="325">
        <v>-1499.8</v>
      </c>
      <c r="BR29" s="244">
        <v>-1232.0999999999999</v>
      </c>
      <c r="BS29" s="276">
        <v>-823.8</v>
      </c>
      <c r="BT29" s="244">
        <v>-1040.5999999999999</v>
      </c>
      <c r="BU29" s="244">
        <v>-1140.7</v>
      </c>
      <c r="BV29" s="315">
        <v>-1433.5</v>
      </c>
      <c r="BW29" s="361">
        <v>-1176</v>
      </c>
      <c r="BX29" s="417">
        <v>-1030</v>
      </c>
      <c r="BY29" s="417">
        <v>-1331</v>
      </c>
      <c r="BZ29" s="417">
        <v>-1328</v>
      </c>
      <c r="CA29" s="361">
        <v>-1245</v>
      </c>
      <c r="CB29" s="417">
        <v>-1390</v>
      </c>
      <c r="CC29" s="417">
        <v>-1450</v>
      </c>
      <c r="CD29" s="431">
        <v>-1605</v>
      </c>
      <c r="CE29" s="361">
        <v>-1378</v>
      </c>
      <c r="CF29" s="417">
        <v>-915</v>
      </c>
      <c r="CG29" s="417">
        <v>-1562</v>
      </c>
      <c r="CH29" s="431">
        <v>-1427</v>
      </c>
      <c r="CI29" s="361">
        <v>-1613</v>
      </c>
      <c r="CJ29" s="417">
        <v>-1735</v>
      </c>
      <c r="CK29" s="417">
        <v>-1747</v>
      </c>
      <c r="CL29" s="431">
        <v>-1472</v>
      </c>
      <c r="CM29" s="361">
        <v>-1691</v>
      </c>
      <c r="CN29" s="417">
        <v>-1899</v>
      </c>
      <c r="CO29" s="417">
        <v>-1675</v>
      </c>
      <c r="CP29" s="431">
        <v>-1685</v>
      </c>
      <c r="CQ29" s="361">
        <v>-1546</v>
      </c>
      <c r="CR29" s="417">
        <v>-1739</v>
      </c>
      <c r="CS29" s="417">
        <v>-2130</v>
      </c>
      <c r="CT29" s="431">
        <v>-1547</v>
      </c>
      <c r="CU29" s="361">
        <v>-2038</v>
      </c>
      <c r="CV29" s="417">
        <v>-2049</v>
      </c>
      <c r="CW29" s="417"/>
      <c r="CX29" s="431"/>
    </row>
    <row r="30" spans="1:119" x14ac:dyDescent="0.25">
      <c r="A30" s="225"/>
      <c r="B30" s="250"/>
      <c r="C30" s="30">
        <f>+C29+C28</f>
        <v>518.09999999999991</v>
      </c>
      <c r="D30" s="30">
        <f>+D29+D28</f>
        <v>535.89999999999986</v>
      </c>
      <c r="E30" s="30">
        <f t="shared" ref="E30:BK30" si="44">+E29+E28</f>
        <v>497.59999999999991</v>
      </c>
      <c r="F30" s="30">
        <f t="shared" si="44"/>
        <v>411.6</v>
      </c>
      <c r="G30" s="30">
        <f t="shared" si="44"/>
        <v>267</v>
      </c>
      <c r="H30" s="30">
        <f t="shared" si="44"/>
        <v>174.30000000000007</v>
      </c>
      <c r="I30" s="30">
        <f t="shared" si="44"/>
        <v>133</v>
      </c>
      <c r="J30" s="30">
        <f t="shared" si="44"/>
        <v>68.299999999999955</v>
      </c>
      <c r="K30" s="30">
        <f t="shared" si="44"/>
        <v>158</v>
      </c>
      <c r="L30" s="30">
        <f t="shared" si="44"/>
        <v>120.80000000000007</v>
      </c>
      <c r="M30" s="30">
        <f t="shared" si="44"/>
        <v>98.800000000000068</v>
      </c>
      <c r="N30" s="30">
        <f t="shared" si="44"/>
        <v>134.89999999999998</v>
      </c>
      <c r="O30" s="30">
        <f t="shared" si="44"/>
        <v>133</v>
      </c>
      <c r="P30" s="30">
        <f t="shared" si="44"/>
        <v>188.10000000000002</v>
      </c>
      <c r="Q30" s="30">
        <f t="shared" si="44"/>
        <v>168.20000000000005</v>
      </c>
      <c r="R30" s="30">
        <f t="shared" si="44"/>
        <v>237.19999999999993</v>
      </c>
      <c r="S30" s="30">
        <f t="shared" si="44"/>
        <v>279.5</v>
      </c>
      <c r="T30" s="30">
        <f t="shared" si="44"/>
        <v>440.20000000000005</v>
      </c>
      <c r="U30" s="30">
        <f t="shared" si="44"/>
        <v>487.09999999999991</v>
      </c>
      <c r="V30" s="30">
        <f t="shared" si="44"/>
        <v>450</v>
      </c>
      <c r="W30" s="30">
        <f t="shared" si="44"/>
        <v>509.90000000000009</v>
      </c>
      <c r="X30" s="30">
        <f t="shared" si="44"/>
        <v>548.20000000000005</v>
      </c>
      <c r="Y30" s="30">
        <f t="shared" si="44"/>
        <v>526.29999999999995</v>
      </c>
      <c r="Z30" s="30">
        <f t="shared" si="44"/>
        <v>522.70000000000005</v>
      </c>
      <c r="AA30" s="15">
        <f t="shared" si="44"/>
        <v>735.5</v>
      </c>
      <c r="AB30" s="15">
        <f t="shared" si="44"/>
        <v>784.90000000000009</v>
      </c>
      <c r="AC30" s="15">
        <f t="shared" si="44"/>
        <v>509.30000000000007</v>
      </c>
      <c r="AD30" s="15">
        <f t="shared" si="44"/>
        <v>662.10000000000014</v>
      </c>
      <c r="AE30" s="15">
        <f t="shared" si="44"/>
        <v>1079.8</v>
      </c>
      <c r="AF30" s="15">
        <f t="shared" si="44"/>
        <v>764.19999999999993</v>
      </c>
      <c r="AG30" s="15">
        <f t="shared" si="44"/>
        <v>466.99999999999989</v>
      </c>
      <c r="AH30" s="15">
        <f t="shared" si="44"/>
        <v>592.29999999999995</v>
      </c>
      <c r="AI30" s="15">
        <f t="shared" si="44"/>
        <v>296.59999999999991</v>
      </c>
      <c r="AJ30" s="15">
        <f t="shared" si="44"/>
        <v>655.60000000000014</v>
      </c>
      <c r="AK30" s="15">
        <f t="shared" si="44"/>
        <v>695.8</v>
      </c>
      <c r="AL30" s="15">
        <f t="shared" si="44"/>
        <v>734.80000000000007</v>
      </c>
      <c r="AM30" s="15">
        <f t="shared" si="44"/>
        <v>461</v>
      </c>
      <c r="AN30" s="15">
        <f t="shared" si="44"/>
        <v>382.59999999999991</v>
      </c>
      <c r="AO30" s="15">
        <f t="shared" si="44"/>
        <v>674.7</v>
      </c>
      <c r="AP30" s="15">
        <f t="shared" si="44"/>
        <v>1094.3999999999999</v>
      </c>
      <c r="AQ30" s="15">
        <f t="shared" si="44"/>
        <v>695.7</v>
      </c>
      <c r="AR30" s="15">
        <f t="shared" si="44"/>
        <v>733.10000000000014</v>
      </c>
      <c r="AS30" s="15">
        <f t="shared" si="44"/>
        <v>147.29999999999995</v>
      </c>
      <c r="AT30" s="15">
        <f t="shared" si="44"/>
        <v>56.400000000000091</v>
      </c>
      <c r="AU30" s="15">
        <f t="shared" si="44"/>
        <v>682.59999999999991</v>
      </c>
      <c r="AV30" s="15">
        <f t="shared" si="44"/>
        <v>695.3</v>
      </c>
      <c r="AW30" s="15">
        <f t="shared" si="44"/>
        <v>975.20000000000027</v>
      </c>
      <c r="AX30" s="15">
        <f t="shared" si="44"/>
        <v>890.79999999999973</v>
      </c>
      <c r="AY30" s="14">
        <f t="shared" si="44"/>
        <v>712.7</v>
      </c>
      <c r="AZ30" s="15">
        <f t="shared" si="44"/>
        <v>645.10000000000014</v>
      </c>
      <c r="BA30" s="15">
        <f t="shared" si="44"/>
        <v>815</v>
      </c>
      <c r="BB30" s="16">
        <f t="shared" si="44"/>
        <v>744.3</v>
      </c>
      <c r="BC30" s="29">
        <f t="shared" si="44"/>
        <v>551.89999999999986</v>
      </c>
      <c r="BD30" s="30">
        <f t="shared" si="44"/>
        <v>662.10000000000014</v>
      </c>
      <c r="BE30" s="30">
        <f t="shared" si="44"/>
        <v>753.49999999999977</v>
      </c>
      <c r="BF30" s="31">
        <f t="shared" si="44"/>
        <v>1034.3000000000002</v>
      </c>
      <c r="BG30" s="29">
        <f t="shared" si="44"/>
        <v>974</v>
      </c>
      <c r="BH30" s="30">
        <f t="shared" si="44"/>
        <v>1010.6999999999998</v>
      </c>
      <c r="BI30" s="30">
        <f t="shared" si="44"/>
        <v>942.30000000000018</v>
      </c>
      <c r="BJ30" s="30">
        <f t="shared" si="44"/>
        <v>907.49999999999977</v>
      </c>
      <c r="BK30" s="210">
        <f t="shared" si="44"/>
        <v>309.60000000000014</v>
      </c>
      <c r="BL30" s="221">
        <f t="shared" ref="BL30:BS30" si="45">+BL29+BL28</f>
        <v>606.40000000000009</v>
      </c>
      <c r="BM30" s="221">
        <f t="shared" si="45"/>
        <v>375.60000000000014</v>
      </c>
      <c r="BN30" s="222">
        <f t="shared" si="45"/>
        <v>581.90000000000009</v>
      </c>
      <c r="BO30" s="210">
        <f t="shared" si="45"/>
        <v>72.199999999999818</v>
      </c>
      <c r="BP30" s="221">
        <f t="shared" si="45"/>
        <v>-32.399999999999864</v>
      </c>
      <c r="BQ30" s="221">
        <f t="shared" si="45"/>
        <v>-249</v>
      </c>
      <c r="BR30" s="221">
        <f t="shared" si="45"/>
        <v>-389.09999999999991</v>
      </c>
      <c r="BS30" s="210">
        <f t="shared" si="45"/>
        <v>-770.8</v>
      </c>
      <c r="BT30" s="221">
        <f t="shared" ref="BT30:BY30" si="46">+BT29+BT28</f>
        <v>-796.69999999999993</v>
      </c>
      <c r="BU30" s="221">
        <f t="shared" si="46"/>
        <v>69.299999999999955</v>
      </c>
      <c r="BV30" s="222">
        <f t="shared" si="46"/>
        <v>362.79999999999995</v>
      </c>
      <c r="BW30" s="213">
        <f t="shared" si="46"/>
        <v>248</v>
      </c>
      <c r="BX30" s="214">
        <f t="shared" si="46"/>
        <v>-285</v>
      </c>
      <c r="BY30" s="214">
        <f t="shared" si="46"/>
        <v>910</v>
      </c>
      <c r="BZ30" s="214">
        <f t="shared" ref="BZ30:CB30" si="47">+BZ29+BZ28</f>
        <v>1056</v>
      </c>
      <c r="CA30" s="213">
        <f t="shared" si="47"/>
        <v>640</v>
      </c>
      <c r="CB30" s="214">
        <f t="shared" si="47"/>
        <v>404</v>
      </c>
      <c r="CC30" s="214">
        <f t="shared" ref="CC30:CF30" si="48">+CC29+CC28</f>
        <v>583</v>
      </c>
      <c r="CD30" s="259">
        <f t="shared" si="48"/>
        <v>615</v>
      </c>
      <c r="CE30" s="213">
        <f t="shared" si="48"/>
        <v>83</v>
      </c>
      <c r="CF30" s="214">
        <f t="shared" si="48"/>
        <v>-906</v>
      </c>
      <c r="CG30" s="214">
        <f t="shared" ref="CG30:CJ30" si="49">+CG29+CG28</f>
        <v>-78</v>
      </c>
      <c r="CH30" s="259">
        <f t="shared" si="49"/>
        <v>105</v>
      </c>
      <c r="CI30" s="213">
        <f t="shared" si="49"/>
        <v>452</v>
      </c>
      <c r="CJ30" s="214">
        <f t="shared" si="49"/>
        <v>776</v>
      </c>
      <c r="CK30" s="214">
        <f t="shared" ref="CK30:CP30" si="50">+CK29+CK28</f>
        <v>27</v>
      </c>
      <c r="CL30" s="259">
        <f t="shared" si="50"/>
        <v>470</v>
      </c>
      <c r="CM30" s="213">
        <f t="shared" si="50"/>
        <v>406</v>
      </c>
      <c r="CN30" s="214">
        <f t="shared" si="50"/>
        <v>1017</v>
      </c>
      <c r="CO30" s="214">
        <f t="shared" si="50"/>
        <v>766</v>
      </c>
      <c r="CP30" s="259">
        <f t="shared" si="50"/>
        <v>709</v>
      </c>
      <c r="CQ30" s="213">
        <f t="shared" ref="CQ30:CT30" si="51">+CQ29+CQ28</f>
        <v>730</v>
      </c>
      <c r="CR30" s="214">
        <f t="shared" si="51"/>
        <v>1342</v>
      </c>
      <c r="CS30" s="214">
        <f t="shared" si="51"/>
        <v>2064</v>
      </c>
      <c r="CT30" s="259">
        <f t="shared" si="51"/>
        <v>1512</v>
      </c>
      <c r="CU30" s="213">
        <f t="shared" ref="CU30:CX30" si="52">+CU29+CU28</f>
        <v>1937</v>
      </c>
      <c r="CV30" s="214">
        <f t="shared" si="52"/>
        <v>2037</v>
      </c>
      <c r="CW30" s="214">
        <f t="shared" si="52"/>
        <v>0</v>
      </c>
      <c r="CX30" s="259">
        <f t="shared" si="52"/>
        <v>0</v>
      </c>
    </row>
    <row r="31" spans="1:119" x14ac:dyDescent="0.25">
      <c r="A31" s="225"/>
      <c r="B31" s="250" t="s">
        <v>67</v>
      </c>
      <c r="C31" s="30">
        <v>-57.5</v>
      </c>
      <c r="D31" s="30">
        <v>-62.6</v>
      </c>
      <c r="E31" s="30">
        <v>-53.8</v>
      </c>
      <c r="F31" s="30">
        <v>-60.1</v>
      </c>
      <c r="G31" s="30">
        <v>-54.3</v>
      </c>
      <c r="H31" s="30">
        <v>-58.8</v>
      </c>
      <c r="I31" s="30">
        <v>-57.1</v>
      </c>
      <c r="J31" s="30">
        <v>-53.6</v>
      </c>
      <c r="K31" s="30">
        <v>-60.1</v>
      </c>
      <c r="L31" s="30">
        <v>-62.2</v>
      </c>
      <c r="M31" s="30">
        <v>-58.4</v>
      </c>
      <c r="N31" s="30">
        <v>-58.4</v>
      </c>
      <c r="O31" s="30">
        <v>-62.2</v>
      </c>
      <c r="P31" s="30">
        <v>-66.5</v>
      </c>
      <c r="Q31" s="30">
        <v>-61.3</v>
      </c>
      <c r="R31" s="30">
        <v>-61.5</v>
      </c>
      <c r="S31" s="30">
        <v>-60.9</v>
      </c>
      <c r="T31" s="30">
        <v>-75.2</v>
      </c>
      <c r="U31" s="30">
        <v>-119.8</v>
      </c>
      <c r="V31" s="30">
        <v>-122.4</v>
      </c>
      <c r="W31" s="30">
        <v>-119.6</v>
      </c>
      <c r="X31" s="30">
        <v>-121.9</v>
      </c>
      <c r="Y31" s="30">
        <v>-144.9</v>
      </c>
      <c r="Z31" s="30">
        <v>-141</v>
      </c>
      <c r="AA31" s="15">
        <v>-118</v>
      </c>
      <c r="AB31" s="15">
        <v>-144.4</v>
      </c>
      <c r="AC31" s="15">
        <v>-139.6</v>
      </c>
      <c r="AD31" s="15">
        <v>-143.4</v>
      </c>
      <c r="AE31" s="15">
        <v>-167.4</v>
      </c>
      <c r="AF31" s="15">
        <v>-174.5</v>
      </c>
      <c r="AG31" s="15">
        <v>-145.5</v>
      </c>
      <c r="AH31" s="15">
        <v>-147.1</v>
      </c>
      <c r="AI31" s="15">
        <v>-139.1</v>
      </c>
      <c r="AJ31" s="15">
        <v>-190</v>
      </c>
      <c r="AK31" s="15">
        <v>-220.3</v>
      </c>
      <c r="AL31" s="15">
        <v>-233</v>
      </c>
      <c r="AM31" s="15">
        <v>-189.2</v>
      </c>
      <c r="AN31" s="15">
        <v>-199.8</v>
      </c>
      <c r="AO31" s="15">
        <v>-218</v>
      </c>
      <c r="AP31" s="15">
        <v>-243.1</v>
      </c>
      <c r="AQ31" s="15">
        <v>-220.5</v>
      </c>
      <c r="AR31" s="15">
        <v>-288.10000000000002</v>
      </c>
      <c r="AS31" s="15">
        <v>-230.9</v>
      </c>
      <c r="AT31" s="15">
        <v>-247</v>
      </c>
      <c r="AU31" s="15">
        <v>-284.2</v>
      </c>
      <c r="AV31" s="15">
        <v>-341.3</v>
      </c>
      <c r="AW31" s="15">
        <v>-465.6</v>
      </c>
      <c r="AX31" s="15">
        <v>-366.9</v>
      </c>
      <c r="AY31" s="14">
        <v>-275</v>
      </c>
      <c r="AZ31" s="15">
        <f>-547.1-AY31</f>
        <v>-272.10000000000002</v>
      </c>
      <c r="BA31" s="15">
        <v>-290.7</v>
      </c>
      <c r="BB31" s="16">
        <v>-291.5</v>
      </c>
      <c r="BC31" s="29">
        <v>-248.6</v>
      </c>
      <c r="BD31" s="30">
        <f>-525.1-BC31</f>
        <v>-276.5</v>
      </c>
      <c r="BE31" s="30">
        <v>-302.3</v>
      </c>
      <c r="BF31" s="31">
        <v>-315.2</v>
      </c>
      <c r="BG31" s="29">
        <v>-248.9</v>
      </c>
      <c r="BH31" s="30">
        <v>-245.4</v>
      </c>
      <c r="BI31" s="15">
        <v>-247.6</v>
      </c>
      <c r="BJ31" s="30">
        <f>-271</f>
        <v>-271</v>
      </c>
      <c r="BK31" s="210">
        <v>-239</v>
      </c>
      <c r="BL31" s="221">
        <v>-292.89999999999998</v>
      </c>
      <c r="BM31" s="221">
        <v>-291.8</v>
      </c>
      <c r="BN31" s="222">
        <v>-302.7</v>
      </c>
      <c r="BO31" s="210">
        <v>-287.3</v>
      </c>
      <c r="BP31" s="221">
        <v>-299.5</v>
      </c>
      <c r="BQ31" s="221">
        <v>-304</v>
      </c>
      <c r="BR31" s="221">
        <v>-262.39999999999998</v>
      </c>
      <c r="BS31" s="210">
        <v>-194.4</v>
      </c>
      <c r="BT31" s="221">
        <v>-21.1</v>
      </c>
      <c r="BU31" s="221">
        <v>-320.3</v>
      </c>
      <c r="BV31" s="222">
        <v>-384.7</v>
      </c>
      <c r="BW31" s="213">
        <v>-293</v>
      </c>
      <c r="BX31" s="214">
        <v>-108</v>
      </c>
      <c r="BY31" s="214">
        <v>-279</v>
      </c>
      <c r="BZ31" s="214">
        <v>-253</v>
      </c>
      <c r="CA31" s="213">
        <v>-228</v>
      </c>
      <c r="CB31" s="214">
        <v>-265</v>
      </c>
      <c r="CC31" s="214">
        <v>-334</v>
      </c>
      <c r="CD31" s="259">
        <v>-337</v>
      </c>
      <c r="CE31" s="213">
        <v>-198</v>
      </c>
      <c r="CF31" s="214">
        <v>-41</v>
      </c>
      <c r="CG31" s="214">
        <v>-237</v>
      </c>
      <c r="CH31" s="259">
        <v>-245</v>
      </c>
      <c r="CI31" s="213">
        <v>-242</v>
      </c>
      <c r="CJ31" s="214">
        <v>-268</v>
      </c>
      <c r="CK31" s="214">
        <v>-203</v>
      </c>
      <c r="CL31" s="259">
        <v>-302</v>
      </c>
      <c r="CM31" s="213">
        <v>-280</v>
      </c>
      <c r="CN31" s="214">
        <v>-379</v>
      </c>
      <c r="CO31" s="214">
        <v>-378</v>
      </c>
      <c r="CP31" s="259">
        <v>-343</v>
      </c>
      <c r="CQ31" s="213">
        <v>-364</v>
      </c>
      <c r="CR31" s="214">
        <v>-503</v>
      </c>
      <c r="CS31" s="214">
        <v>-625</v>
      </c>
      <c r="CT31" s="259">
        <v>-502</v>
      </c>
      <c r="CU31" s="213">
        <v>-376</v>
      </c>
      <c r="CV31" s="214">
        <v>-495</v>
      </c>
      <c r="CW31" s="214"/>
      <c r="CX31" s="259"/>
    </row>
    <row r="32" spans="1:119" x14ac:dyDescent="0.25">
      <c r="A32" s="225"/>
      <c r="B32" s="250" t="s">
        <v>68</v>
      </c>
      <c r="C32" s="30">
        <f>1.5-9.9</f>
        <v>-8.4</v>
      </c>
      <c r="D32" s="30">
        <v>1.4</v>
      </c>
      <c r="E32" s="30">
        <v>8.1</v>
      </c>
      <c r="F32" s="30">
        <v>-5</v>
      </c>
      <c r="G32" s="30">
        <v>-4.5999999999999996</v>
      </c>
      <c r="H32" s="30">
        <f>-9.2-17.1</f>
        <v>-26.3</v>
      </c>
      <c r="I32" s="30">
        <f>-6.2+187.2</f>
        <v>181</v>
      </c>
      <c r="J32" s="30">
        <f>-11-1</f>
        <v>-12</v>
      </c>
      <c r="K32" s="30">
        <f>-18.1-0.9</f>
        <v>-19</v>
      </c>
      <c r="L32" s="30">
        <v>-37.9</v>
      </c>
      <c r="M32" s="30">
        <v>26.4</v>
      </c>
      <c r="N32" s="30">
        <v>24.4</v>
      </c>
      <c r="O32" s="30">
        <v>-33.1</v>
      </c>
      <c r="P32" s="30">
        <f>13.9-13.2</f>
        <v>0.70000000000000107</v>
      </c>
      <c r="Q32" s="30">
        <v>-11.3</v>
      </c>
      <c r="R32" s="30">
        <f>-11.2+0.1</f>
        <v>-11.1</v>
      </c>
      <c r="S32" s="30">
        <f>-9.8+0.8</f>
        <v>-9</v>
      </c>
      <c r="T32" s="30">
        <f>-11.8+0.1</f>
        <v>-11.700000000000001</v>
      </c>
      <c r="U32" s="30">
        <f>-8.8+4.5</f>
        <v>-4.3000000000000007</v>
      </c>
      <c r="V32" s="30">
        <f>-10.8+0.8</f>
        <v>-10</v>
      </c>
      <c r="W32" s="30">
        <v>-7.7</v>
      </c>
      <c r="X32" s="30">
        <f>-0.6+19</f>
        <v>18.399999999999999</v>
      </c>
      <c r="Y32" s="30">
        <f>-19.6+21.7</f>
        <v>2.0999999999999979</v>
      </c>
      <c r="Z32" s="30">
        <v>-17.5</v>
      </c>
      <c r="AA32" s="15">
        <f>-44.1-44.7</f>
        <v>-88.800000000000011</v>
      </c>
      <c r="AB32" s="15">
        <f>-18.9+21.2</f>
        <v>2.3000000000000007</v>
      </c>
      <c r="AC32" s="15">
        <f>-29.9+1.7</f>
        <v>-28.2</v>
      </c>
      <c r="AD32" s="15">
        <f>-50.1</f>
        <v>-50.1</v>
      </c>
      <c r="AE32" s="15">
        <f>-49.8+1.2</f>
        <v>-48.599999999999994</v>
      </c>
      <c r="AF32" s="15">
        <f>-26.2-36.5</f>
        <v>-62.7</v>
      </c>
      <c r="AG32" s="15">
        <f>-22.9+0.8</f>
        <v>-22.099999999999998</v>
      </c>
      <c r="AH32" s="15">
        <f>-26.9+1</f>
        <v>-25.9</v>
      </c>
      <c r="AI32" s="15">
        <f>-14-0</f>
        <v>-14</v>
      </c>
      <c r="AJ32" s="15">
        <f>-28.5-0.9</f>
        <v>-29.4</v>
      </c>
      <c r="AK32" s="15">
        <f>-23.5-35.9</f>
        <v>-59.4</v>
      </c>
      <c r="AL32" s="15">
        <f>-28-477.5</f>
        <v>-505.5</v>
      </c>
      <c r="AM32" s="15">
        <f>-22.3-15.1</f>
        <v>-37.4</v>
      </c>
      <c r="AN32" s="15">
        <f>-23.8-13.8</f>
        <v>-37.6</v>
      </c>
      <c r="AO32" s="15">
        <f>-21.2-61.4</f>
        <v>-82.6</v>
      </c>
      <c r="AP32" s="15">
        <f>-31.7-75.3</f>
        <v>-107</v>
      </c>
      <c r="AQ32" s="15">
        <f>-24.7-14.5</f>
        <v>-39.200000000000003</v>
      </c>
      <c r="AR32" s="15">
        <f>-31.8-6.7</f>
        <v>-38.5</v>
      </c>
      <c r="AS32" s="15">
        <f>-33.3-49.9</f>
        <v>-83.199999999999989</v>
      </c>
      <c r="AT32" s="15">
        <f>-49-13.2</f>
        <v>-62.2</v>
      </c>
      <c r="AU32" s="15">
        <v>-135.19999999999999</v>
      </c>
      <c r="AV32" s="15">
        <v>-147.4</v>
      </c>
      <c r="AW32" s="15">
        <v>-55.7</v>
      </c>
      <c r="AX32" s="15">
        <v>-49.9</v>
      </c>
      <c r="AY32" s="14">
        <v>-153.5</v>
      </c>
      <c r="AZ32" s="15">
        <v>-68.5</v>
      </c>
      <c r="BA32" s="15">
        <v>-83.5</v>
      </c>
      <c r="BB32" s="16">
        <v>-49.5</v>
      </c>
      <c r="BC32" s="29">
        <v>-51.2</v>
      </c>
      <c r="BD32" s="30">
        <f>-92.1-BC32</f>
        <v>-40.899999999999991</v>
      </c>
      <c r="BE32" s="30">
        <v>-37.200000000000003</v>
      </c>
      <c r="BF32" s="31">
        <f>-55.5-11.3</f>
        <v>-66.8</v>
      </c>
      <c r="BG32" s="29">
        <f>-187.5-8.6</f>
        <v>-196.1</v>
      </c>
      <c r="BH32" s="30">
        <f>-77-2.5</f>
        <v>-79.5</v>
      </c>
      <c r="BI32" s="15">
        <f>-694.7+634.6</f>
        <v>-60.100000000000023</v>
      </c>
      <c r="BJ32" s="30">
        <v>0</v>
      </c>
      <c r="BK32" s="210">
        <f>-70.6+20.2</f>
        <v>-50.399999999999991</v>
      </c>
      <c r="BL32" s="221">
        <f>-313.5+262.2</f>
        <v>-51.300000000000011</v>
      </c>
      <c r="BM32" s="221">
        <v>-51.8</v>
      </c>
      <c r="BN32" s="222">
        <v>-76</v>
      </c>
      <c r="BO32" s="210">
        <v>-52.3</v>
      </c>
      <c r="BP32" s="221">
        <v>-78.400000000000006</v>
      </c>
      <c r="BQ32" s="221">
        <f>-10.5-13.6-328.7</f>
        <v>-352.8</v>
      </c>
      <c r="BR32" s="221">
        <f>-16-2169.9-41.9</f>
        <v>-2227.8000000000002</v>
      </c>
      <c r="BS32" s="210">
        <f>-58.5-90-2.5</f>
        <v>-151</v>
      </c>
      <c r="BT32" s="221">
        <f>-289.6-0.1</f>
        <v>-289.70000000000005</v>
      </c>
      <c r="BU32" s="221">
        <f>-42.3-44.1+12.8</f>
        <v>-73.600000000000009</v>
      </c>
      <c r="BV32" s="222">
        <f>-6.6-28.4+9.9</f>
        <v>-25.1</v>
      </c>
      <c r="BW32" s="213">
        <v>-33</v>
      </c>
      <c r="BX32" s="214">
        <v>-29</v>
      </c>
      <c r="BY32" s="214">
        <v>-77</v>
      </c>
      <c r="BZ32" s="214">
        <v>-29</v>
      </c>
      <c r="CA32" s="213">
        <v>-29</v>
      </c>
      <c r="CB32" s="214">
        <v>-10</v>
      </c>
      <c r="CC32" s="214">
        <v>-34</v>
      </c>
      <c r="CD32" s="259">
        <v>-219</v>
      </c>
      <c r="CE32" s="213">
        <v>-43</v>
      </c>
      <c r="CF32" s="214">
        <v>-100</v>
      </c>
      <c r="CG32" s="214">
        <v>-42</v>
      </c>
      <c r="CH32" s="259">
        <v>-49</v>
      </c>
      <c r="CI32" s="213">
        <v>-55</v>
      </c>
      <c r="CJ32" s="214">
        <v>-39</v>
      </c>
      <c r="CK32" s="214">
        <v>-78</v>
      </c>
      <c r="CL32" s="259">
        <v>-122</v>
      </c>
      <c r="CM32" s="213">
        <v>-106</v>
      </c>
      <c r="CN32" s="214">
        <v>-122</v>
      </c>
      <c r="CO32" s="214">
        <v>-78</v>
      </c>
      <c r="CP32" s="259">
        <v>-91</v>
      </c>
      <c r="CQ32" s="213">
        <v>-40</v>
      </c>
      <c r="CR32" s="214">
        <v>-26</v>
      </c>
      <c r="CS32" s="214">
        <v>-51</v>
      </c>
      <c r="CT32" s="259">
        <v>108</v>
      </c>
      <c r="CU32" s="213">
        <v>-33</v>
      </c>
      <c r="CV32" s="214">
        <v>-11</v>
      </c>
      <c r="CW32" s="214">
        <v>1</v>
      </c>
      <c r="CX32" s="259"/>
    </row>
    <row r="33" spans="1:119" x14ac:dyDescent="0.25">
      <c r="A33" s="225"/>
      <c r="B33" s="250" t="s">
        <v>178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70"/>
      <c r="AB33" s="170"/>
      <c r="AC33" s="170"/>
      <c r="AD33" s="170"/>
      <c r="AE33" s="170"/>
      <c r="AF33" s="170"/>
      <c r="AG33" s="170"/>
      <c r="AH33" s="170"/>
      <c r="AI33" s="15">
        <v>-9.3000000000000007</v>
      </c>
      <c r="AJ33" s="15">
        <v>-34.299999999999997</v>
      </c>
      <c r="AK33" s="15">
        <v>-32.799999999999997</v>
      </c>
      <c r="AL33" s="15">
        <v>-40.1</v>
      </c>
      <c r="AM33" s="15">
        <v>-22.3</v>
      </c>
      <c r="AN33" s="15">
        <v>-14</v>
      </c>
      <c r="AO33" s="15">
        <v>-27.6</v>
      </c>
      <c r="AP33" s="15">
        <v>-67.900000000000006</v>
      </c>
      <c r="AQ33" s="15">
        <v>-34.700000000000003</v>
      </c>
      <c r="AR33" s="15">
        <v>-42</v>
      </c>
      <c r="AS33" s="15">
        <v>12</v>
      </c>
      <c r="AT33" s="15">
        <v>-1.5</v>
      </c>
      <c r="AU33" s="15">
        <v>-35.9</v>
      </c>
      <c r="AV33" s="15">
        <v>-38.1</v>
      </c>
      <c r="AW33" s="15">
        <v>-62</v>
      </c>
      <c r="AX33" s="15">
        <v>-62.3</v>
      </c>
      <c r="AY33" s="14">
        <v>-36.5</v>
      </c>
      <c r="AZ33" s="15">
        <f>-74.1-AY33</f>
        <v>-37.599999999999994</v>
      </c>
      <c r="BA33" s="15">
        <v>-49.5</v>
      </c>
      <c r="BB33" s="16">
        <v>-41.9</v>
      </c>
      <c r="BC33" s="29">
        <v>-34.799999999999997</v>
      </c>
      <c r="BD33" s="30">
        <f>-78.9-BC33</f>
        <v>-44.100000000000009</v>
      </c>
      <c r="BE33" s="30">
        <v>-46.3</v>
      </c>
      <c r="BF33" s="31">
        <v>-71.599999999999994</v>
      </c>
      <c r="BG33" s="29">
        <v>-65.8</v>
      </c>
      <c r="BH33" s="30">
        <v>-36.200000000000003</v>
      </c>
      <c r="BI33" s="15">
        <v>-77.5</v>
      </c>
      <c r="BJ33" s="30">
        <v>-25.3</v>
      </c>
      <c r="BK33" s="210">
        <v>-9.3000000000000007</v>
      </c>
      <c r="BL33" s="221">
        <v>-37.4</v>
      </c>
      <c r="BM33" s="221">
        <v>-16.5</v>
      </c>
      <c r="BN33" s="222">
        <v>-14.7</v>
      </c>
      <c r="BO33" s="210">
        <v>-7.8</v>
      </c>
      <c r="BP33" s="221">
        <v>-7.3</v>
      </c>
      <c r="BQ33" s="221">
        <v>-6.3</v>
      </c>
      <c r="BR33" s="221">
        <v>22.8</v>
      </c>
      <c r="BS33" s="210">
        <v>-0.2</v>
      </c>
      <c r="BT33" s="221">
        <v>-1.7</v>
      </c>
      <c r="BU33" s="221">
        <v>-5.6</v>
      </c>
      <c r="BV33" s="222">
        <f>-9-0.1</f>
        <v>-9.1</v>
      </c>
      <c r="BW33" s="213">
        <v>-7</v>
      </c>
      <c r="BX33" s="214">
        <v>-4</v>
      </c>
      <c r="BY33" s="214">
        <v>-11</v>
      </c>
      <c r="BZ33" s="214">
        <v>-51</v>
      </c>
      <c r="CA33" s="213">
        <v>-31</v>
      </c>
      <c r="CB33" s="214">
        <v>-14</v>
      </c>
      <c r="CC33" s="214">
        <v>-19</v>
      </c>
      <c r="CD33" s="259">
        <v>-30</v>
      </c>
      <c r="CE33" s="213">
        <v>-7</v>
      </c>
      <c r="CF33" s="214">
        <v>0</v>
      </c>
      <c r="CG33" s="214">
        <v>-7</v>
      </c>
      <c r="CH33" s="259">
        <v>-8</v>
      </c>
      <c r="CI33" s="213">
        <v>-10</v>
      </c>
      <c r="CJ33" s="214">
        <v>-13</v>
      </c>
      <c r="CK33" s="214">
        <v>-9</v>
      </c>
      <c r="CL33" s="259">
        <v>-10</v>
      </c>
      <c r="CM33" s="213">
        <v>-10</v>
      </c>
      <c r="CN33" s="214">
        <v>-15</v>
      </c>
      <c r="CO33" s="214">
        <v>-12</v>
      </c>
      <c r="CP33" s="259">
        <v>-12</v>
      </c>
      <c r="CQ33" s="213">
        <v>-11</v>
      </c>
      <c r="CR33" s="214">
        <v>18</v>
      </c>
      <c r="CS33" s="214">
        <v>-135</v>
      </c>
      <c r="CT33" s="259">
        <v>-86</v>
      </c>
      <c r="CU33" s="213">
        <v>-125</v>
      </c>
      <c r="CV33" s="214">
        <v>-127</v>
      </c>
      <c r="CW33" s="214"/>
      <c r="CX33" s="259"/>
    </row>
    <row r="34" spans="1:119" x14ac:dyDescent="0.25">
      <c r="A34" s="225"/>
      <c r="B34" s="250" t="s">
        <v>69</v>
      </c>
      <c r="C34" s="30">
        <v>-173.8</v>
      </c>
      <c r="D34" s="30">
        <v>-180.5</v>
      </c>
      <c r="E34" s="30">
        <v>-170</v>
      </c>
      <c r="F34" s="30">
        <v>-127.3</v>
      </c>
      <c r="G34" s="30">
        <v>-62.8</v>
      </c>
      <c r="H34" s="30">
        <v>-10.199999999999999</v>
      </c>
      <c r="I34" s="30">
        <v>42.1</v>
      </c>
      <c r="J34" s="30">
        <v>4.5</v>
      </c>
      <c r="K34" s="30">
        <v>20.2</v>
      </c>
      <c r="L34" s="30">
        <v>10.7</v>
      </c>
      <c r="M34" s="30">
        <v>-16.899999999999999</v>
      </c>
      <c r="N34" s="30">
        <v>-10.9</v>
      </c>
      <c r="O34" s="30">
        <v>13.6</v>
      </c>
      <c r="P34" s="30">
        <v>-23.8</v>
      </c>
      <c r="Q34" s="30">
        <v>-14.2</v>
      </c>
      <c r="R34" s="30">
        <v>-46.3</v>
      </c>
      <c r="S34" s="30">
        <v>-63.9</v>
      </c>
      <c r="T34" s="30">
        <v>-119.1</v>
      </c>
      <c r="U34" s="30">
        <v>-122.8</v>
      </c>
      <c r="V34" s="30">
        <v>-104.1</v>
      </c>
      <c r="W34" s="30">
        <v>-129.9</v>
      </c>
      <c r="X34" s="30">
        <v>-146.80000000000001</v>
      </c>
      <c r="Y34" s="30">
        <v>-139.4</v>
      </c>
      <c r="Z34" s="30">
        <v>-127.1</v>
      </c>
      <c r="AA34" s="15">
        <v>-182.3</v>
      </c>
      <c r="AB34" s="15">
        <v>-237.1</v>
      </c>
      <c r="AC34" s="15">
        <v>-115.2</v>
      </c>
      <c r="AD34" s="15">
        <v>-160.30000000000001</v>
      </c>
      <c r="AE34" s="15">
        <v>-328.4</v>
      </c>
      <c r="AF34" s="15">
        <v>-175.7</v>
      </c>
      <c r="AG34" s="15">
        <f>-60.3-35.6</f>
        <v>-95.9</v>
      </c>
      <c r="AH34" s="15">
        <f>-45.3-100.8</f>
        <v>-146.1</v>
      </c>
      <c r="AI34" s="15">
        <f>-46.3+16.9</f>
        <v>-29.4</v>
      </c>
      <c r="AJ34" s="15">
        <f>-49-83.9</f>
        <v>-132.9</v>
      </c>
      <c r="AK34" s="15">
        <f>-50.8-44</f>
        <v>-94.8</v>
      </c>
      <c r="AL34" s="15">
        <f>149.8-112.9</f>
        <v>36.900000000000006</v>
      </c>
      <c r="AM34" s="15">
        <f>-20.5-42.9</f>
        <v>-63.4</v>
      </c>
      <c r="AN34" s="15">
        <f>-21-2.5</f>
        <v>-23.5</v>
      </c>
      <c r="AO34" s="15">
        <f>-51.9-55.3</f>
        <v>-107.19999999999999</v>
      </c>
      <c r="AP34" s="15">
        <f>-20-235.4</f>
        <v>-255.4</v>
      </c>
      <c r="AQ34" s="15">
        <f>365.2-74.2</f>
        <v>291</v>
      </c>
      <c r="AR34" s="15">
        <f>-5.4-92.8</f>
        <v>-98.2</v>
      </c>
      <c r="AS34" s="15">
        <f>-27.3+100.9</f>
        <v>73.600000000000009</v>
      </c>
      <c r="AT34" s="15">
        <f>44.8+43.5</f>
        <v>88.3</v>
      </c>
      <c r="AU34" s="15">
        <f>-55.4+0.9</f>
        <v>-54.5</v>
      </c>
      <c r="AV34" s="15">
        <f>-63+29.6</f>
        <v>-33.4</v>
      </c>
      <c r="AW34" s="15">
        <f>-146.7+39.3</f>
        <v>-107.39999999999999</v>
      </c>
      <c r="AX34" s="15">
        <f>-162.6+104.2</f>
        <v>-58.399999999999991</v>
      </c>
      <c r="AY34" s="14">
        <f>6.4-65.3</f>
        <v>-58.9</v>
      </c>
      <c r="AZ34" s="15">
        <f>-143.3+11.4-AY34</f>
        <v>-73</v>
      </c>
      <c r="BA34" s="15">
        <f>-108.3+13.5</f>
        <v>-94.8</v>
      </c>
      <c r="BB34" s="16">
        <f>-87.6-15.1</f>
        <v>-102.69999999999999</v>
      </c>
      <c r="BC34" s="29">
        <f>-63.7+13.3</f>
        <v>-50.400000000000006</v>
      </c>
      <c r="BD34" s="30">
        <f>-152.5+29.6-BC34</f>
        <v>-72.5</v>
      </c>
      <c r="BE34" s="30">
        <f>-93.3+3.5</f>
        <v>-89.8</v>
      </c>
      <c r="BF34" s="31">
        <f>-191.1+20.3</f>
        <v>-170.79999999999998</v>
      </c>
      <c r="BG34" s="29">
        <f>-164.3+36.4</f>
        <v>-127.9</v>
      </c>
      <c r="BH34" s="30">
        <f>-38.7-49.5</f>
        <v>-88.2</v>
      </c>
      <c r="BI34" s="15">
        <v>-222.1</v>
      </c>
      <c r="BJ34" s="30">
        <v>-98.4</v>
      </c>
      <c r="BK34" s="210">
        <f>-3.9</f>
        <v>-3.9</v>
      </c>
      <c r="BL34" s="221">
        <v>-7.7</v>
      </c>
      <c r="BM34" s="221">
        <v>-5.9</v>
      </c>
      <c r="BN34" s="222">
        <v>-9.3000000000000007</v>
      </c>
      <c r="BO34" s="210">
        <v>75.400000000000006</v>
      </c>
      <c r="BP34" s="221">
        <v>175.1</v>
      </c>
      <c r="BQ34" s="221">
        <v>249</v>
      </c>
      <c r="BR34" s="221">
        <v>487.3</v>
      </c>
      <c r="BS34" s="210">
        <v>237.7</v>
      </c>
      <c r="BT34" s="221">
        <v>229.5</v>
      </c>
      <c r="BU34" s="221">
        <v>99.9</v>
      </c>
      <c r="BV34" s="222">
        <v>-514.9</v>
      </c>
      <c r="BW34" s="213">
        <v>11</v>
      </c>
      <c r="BX34" s="214">
        <v>-65</v>
      </c>
      <c r="BY34" s="214">
        <v>12</v>
      </c>
      <c r="BZ34" s="214">
        <v>0</v>
      </c>
      <c r="CA34" s="213">
        <v>-74</v>
      </c>
      <c r="CB34" s="214">
        <v>-25</v>
      </c>
      <c r="CC34" s="214">
        <v>-42</v>
      </c>
      <c r="CD34" s="259">
        <v>178</v>
      </c>
      <c r="CE34" s="213">
        <v>-4</v>
      </c>
      <c r="CF34" s="214">
        <v>7</v>
      </c>
      <c r="CG34" s="214">
        <v>10</v>
      </c>
      <c r="CH34" s="259">
        <v>64</v>
      </c>
      <c r="CI34" s="213">
        <v>-18</v>
      </c>
      <c r="CJ34" s="214">
        <v>-477</v>
      </c>
      <c r="CK34" s="214">
        <v>-20</v>
      </c>
      <c r="CL34" s="259">
        <v>-299</v>
      </c>
      <c r="CM34" s="213">
        <v>-531</v>
      </c>
      <c r="CN34" s="214">
        <v>3</v>
      </c>
      <c r="CO34" s="214">
        <v>117</v>
      </c>
      <c r="CP34" s="259">
        <v>-165</v>
      </c>
      <c r="CQ34" s="213">
        <v>-441</v>
      </c>
      <c r="CR34" s="214">
        <v>28</v>
      </c>
      <c r="CS34" s="214">
        <v>-229</v>
      </c>
      <c r="CT34" s="259">
        <v>-223</v>
      </c>
      <c r="CU34" s="213">
        <v>-1236</v>
      </c>
      <c r="CV34" s="214">
        <v>-26</v>
      </c>
      <c r="CW34" s="214"/>
      <c r="CX34" s="259"/>
    </row>
    <row r="35" spans="1:119" s="1" customFormat="1" ht="15.75" thickBot="1" x14ac:dyDescent="0.3">
      <c r="A35" s="306"/>
      <c r="B35" s="303" t="s">
        <v>70</v>
      </c>
      <c r="C35" s="80">
        <f>SUM(C30:C34)</f>
        <v>278.39999999999992</v>
      </c>
      <c r="D35" s="80">
        <f t="shared" ref="D35:BL35" si="53">SUM(D30:D34)</f>
        <v>294.19999999999982</v>
      </c>
      <c r="E35" s="80">
        <f t="shared" si="53"/>
        <v>281.89999999999992</v>
      </c>
      <c r="F35" s="80">
        <f t="shared" si="53"/>
        <v>219.2</v>
      </c>
      <c r="G35" s="80">
        <f t="shared" si="53"/>
        <v>145.30000000000001</v>
      </c>
      <c r="H35" s="80">
        <f t="shared" si="53"/>
        <v>79.000000000000071</v>
      </c>
      <c r="I35" s="80">
        <f t="shared" si="53"/>
        <v>299</v>
      </c>
      <c r="J35" s="80">
        <f t="shared" si="53"/>
        <v>7.1999999999999531</v>
      </c>
      <c r="K35" s="80">
        <f t="shared" si="53"/>
        <v>99.100000000000009</v>
      </c>
      <c r="L35" s="80">
        <f t="shared" si="53"/>
        <v>31.400000000000066</v>
      </c>
      <c r="M35" s="80">
        <f t="shared" si="53"/>
        <v>49.90000000000007</v>
      </c>
      <c r="N35" s="80">
        <f t="shared" si="53"/>
        <v>89.999999999999972</v>
      </c>
      <c r="O35" s="80">
        <f t="shared" si="53"/>
        <v>51.3</v>
      </c>
      <c r="P35" s="80">
        <f t="shared" si="53"/>
        <v>98.500000000000028</v>
      </c>
      <c r="Q35" s="80">
        <f t="shared" si="53"/>
        <v>81.400000000000048</v>
      </c>
      <c r="R35" s="80">
        <f t="shared" si="53"/>
        <v>118.29999999999994</v>
      </c>
      <c r="S35" s="80">
        <f t="shared" si="53"/>
        <v>145.69999999999999</v>
      </c>
      <c r="T35" s="80">
        <f t="shared" si="53"/>
        <v>234.20000000000007</v>
      </c>
      <c r="U35" s="80">
        <f t="shared" si="53"/>
        <v>240.19999999999987</v>
      </c>
      <c r="V35" s="80">
        <f t="shared" si="53"/>
        <v>213.50000000000003</v>
      </c>
      <c r="W35" s="80">
        <f t="shared" si="53"/>
        <v>252.70000000000007</v>
      </c>
      <c r="X35" s="80">
        <f t="shared" si="53"/>
        <v>297.90000000000003</v>
      </c>
      <c r="Y35" s="80">
        <f t="shared" si="53"/>
        <v>244.1</v>
      </c>
      <c r="Z35" s="80">
        <f t="shared" si="53"/>
        <v>237.10000000000005</v>
      </c>
      <c r="AA35" s="81">
        <f t="shared" si="53"/>
        <v>346.40000000000003</v>
      </c>
      <c r="AB35" s="81">
        <f t="shared" si="53"/>
        <v>405.70000000000005</v>
      </c>
      <c r="AC35" s="81">
        <f t="shared" si="53"/>
        <v>226.30000000000007</v>
      </c>
      <c r="AD35" s="81">
        <f t="shared" si="53"/>
        <v>308.30000000000013</v>
      </c>
      <c r="AE35" s="81">
        <f t="shared" si="53"/>
        <v>535.4</v>
      </c>
      <c r="AF35" s="81">
        <f t="shared" si="53"/>
        <v>351.2999999999999</v>
      </c>
      <c r="AG35" s="81">
        <f t="shared" si="53"/>
        <v>203.49999999999986</v>
      </c>
      <c r="AH35" s="81">
        <f t="shared" si="53"/>
        <v>273.19999999999993</v>
      </c>
      <c r="AI35" s="81">
        <f t="shared" si="53"/>
        <v>104.7999999999999</v>
      </c>
      <c r="AJ35" s="81">
        <f t="shared" si="53"/>
        <v>269.00000000000011</v>
      </c>
      <c r="AK35" s="81">
        <f t="shared" si="53"/>
        <v>288.49999999999994</v>
      </c>
      <c r="AL35" s="81">
        <f t="shared" si="53"/>
        <v>-6.8999999999999275</v>
      </c>
      <c r="AM35" s="81">
        <f t="shared" si="53"/>
        <v>148.69999999999999</v>
      </c>
      <c r="AN35" s="81">
        <f t="shared" si="53"/>
        <v>107.6999999999999</v>
      </c>
      <c r="AO35" s="81">
        <f t="shared" si="53"/>
        <v>239.3</v>
      </c>
      <c r="AP35" s="81">
        <f t="shared" si="53"/>
        <v>420.99999999999989</v>
      </c>
      <c r="AQ35" s="81">
        <f t="shared" si="53"/>
        <v>692.30000000000007</v>
      </c>
      <c r="AR35" s="81">
        <f t="shared" si="53"/>
        <v>266.30000000000013</v>
      </c>
      <c r="AS35" s="81">
        <f t="shared" si="53"/>
        <v>-81.200000000000031</v>
      </c>
      <c r="AT35" s="81">
        <f t="shared" si="53"/>
        <v>-165.99999999999989</v>
      </c>
      <c r="AU35" s="81">
        <f t="shared" si="53"/>
        <v>172.79999999999993</v>
      </c>
      <c r="AV35" s="81">
        <f t="shared" si="53"/>
        <v>135.09999999999994</v>
      </c>
      <c r="AW35" s="81">
        <f t="shared" si="53"/>
        <v>284.50000000000028</v>
      </c>
      <c r="AX35" s="81">
        <f t="shared" si="53"/>
        <v>353.29999999999978</v>
      </c>
      <c r="AY35" s="82">
        <f t="shared" si="53"/>
        <v>188.80000000000004</v>
      </c>
      <c r="AZ35" s="81">
        <f t="shared" si="53"/>
        <v>193.90000000000009</v>
      </c>
      <c r="BA35" s="81">
        <f t="shared" si="53"/>
        <v>296.49999999999994</v>
      </c>
      <c r="BB35" s="83">
        <f t="shared" si="53"/>
        <v>258.7</v>
      </c>
      <c r="BC35" s="84">
        <f t="shared" si="53"/>
        <v>166.89999999999984</v>
      </c>
      <c r="BD35" s="80">
        <f t="shared" si="53"/>
        <v>228.10000000000014</v>
      </c>
      <c r="BE35" s="80">
        <f t="shared" si="53"/>
        <v>277.89999999999975</v>
      </c>
      <c r="BF35" s="85">
        <f t="shared" si="53"/>
        <v>409.9000000000002</v>
      </c>
      <c r="BG35" s="84">
        <f t="shared" si="53"/>
        <v>335.29999999999995</v>
      </c>
      <c r="BH35" s="80">
        <f t="shared" si="53"/>
        <v>561.39999999999975</v>
      </c>
      <c r="BI35" s="80">
        <f t="shared" si="53"/>
        <v>335.00000000000011</v>
      </c>
      <c r="BJ35" s="80">
        <f t="shared" si="53"/>
        <v>512.79999999999984</v>
      </c>
      <c r="BK35" s="118">
        <f t="shared" si="53"/>
        <v>7.0000000000001439</v>
      </c>
      <c r="BL35" s="119">
        <f t="shared" si="53"/>
        <v>217.10000000000011</v>
      </c>
      <c r="BM35" s="119">
        <f t="shared" ref="BM35:BR35" si="54">SUM(BM30:BM34)</f>
        <v>9.6000000000001275</v>
      </c>
      <c r="BN35" s="120">
        <f t="shared" si="54"/>
        <v>179.2000000000001</v>
      </c>
      <c r="BO35" s="118">
        <f t="shared" si="54"/>
        <v>-199.80000000000021</v>
      </c>
      <c r="BP35" s="119">
        <f t="shared" si="54"/>
        <v>-242.49999999999986</v>
      </c>
      <c r="BQ35" s="119">
        <f t="shared" si="54"/>
        <v>-663.09999999999991</v>
      </c>
      <c r="BR35" s="119">
        <f t="shared" si="54"/>
        <v>-2369.1999999999998</v>
      </c>
      <c r="BS35" s="118">
        <f t="shared" ref="BS35:BX35" si="55">SUM(BS30:BS34)</f>
        <v>-878.69999999999982</v>
      </c>
      <c r="BT35" s="119">
        <f t="shared" si="55"/>
        <v>-879.7</v>
      </c>
      <c r="BU35" s="119">
        <f t="shared" si="55"/>
        <v>-230.3000000000001</v>
      </c>
      <c r="BV35" s="120">
        <f t="shared" si="55"/>
        <v>-571</v>
      </c>
      <c r="BW35" s="419">
        <f t="shared" si="55"/>
        <v>-74</v>
      </c>
      <c r="BX35" s="418">
        <f t="shared" si="55"/>
        <v>-491</v>
      </c>
      <c r="BY35" s="418">
        <f t="shared" ref="BY35:BZ35" si="56">SUM(BY30:BY34)</f>
        <v>555</v>
      </c>
      <c r="BZ35" s="418">
        <f t="shared" si="56"/>
        <v>723</v>
      </c>
      <c r="CA35" s="419">
        <f t="shared" ref="CA35:CB35" si="57">SUM(CA30:CA34)</f>
        <v>278</v>
      </c>
      <c r="CB35" s="418">
        <f t="shared" si="57"/>
        <v>90</v>
      </c>
      <c r="CC35" s="418">
        <f t="shared" ref="CC35:CF35" si="58">SUM(CC30:CC34)</f>
        <v>154</v>
      </c>
      <c r="CD35" s="465">
        <f t="shared" si="58"/>
        <v>207</v>
      </c>
      <c r="CE35" s="419">
        <f t="shared" si="58"/>
        <v>-169</v>
      </c>
      <c r="CF35" s="418">
        <f t="shared" si="58"/>
        <v>-1040</v>
      </c>
      <c r="CG35" s="418">
        <f t="shared" ref="CG35:CJ35" si="59">SUM(CG30:CG34)</f>
        <v>-354</v>
      </c>
      <c r="CH35" s="465">
        <f t="shared" si="59"/>
        <v>-133</v>
      </c>
      <c r="CI35" s="419">
        <f t="shared" si="59"/>
        <v>127</v>
      </c>
      <c r="CJ35" s="418">
        <f t="shared" si="59"/>
        <v>-21</v>
      </c>
      <c r="CK35" s="418">
        <f t="shared" ref="CK35:CU35" si="60">SUM(CK30:CK34)</f>
        <v>-283</v>
      </c>
      <c r="CL35" s="465">
        <f t="shared" si="60"/>
        <v>-263</v>
      </c>
      <c r="CM35" s="419">
        <f t="shared" si="60"/>
        <v>-521</v>
      </c>
      <c r="CN35" s="418">
        <f t="shared" si="60"/>
        <v>504</v>
      </c>
      <c r="CO35" s="418">
        <f t="shared" si="60"/>
        <v>415</v>
      </c>
      <c r="CP35" s="465">
        <f t="shared" si="60"/>
        <v>98</v>
      </c>
      <c r="CQ35" s="419">
        <f t="shared" ref="CQ35" si="61">SUM(CQ30:CQ34)</f>
        <v>-126</v>
      </c>
      <c r="CR35" s="418">
        <f t="shared" si="60"/>
        <v>859</v>
      </c>
      <c r="CS35" s="418">
        <f t="shared" ref="CS35" si="62">SUM(CS30:CS34)</f>
        <v>1024</v>
      </c>
      <c r="CT35" s="465">
        <f t="shared" si="60"/>
        <v>809</v>
      </c>
      <c r="CU35" s="419">
        <f t="shared" si="60"/>
        <v>167</v>
      </c>
      <c r="CV35" s="418">
        <f t="shared" ref="CV35:CX35" si="63">SUM(CV30:CV34)</f>
        <v>1378</v>
      </c>
      <c r="CW35" s="418">
        <f t="shared" si="63"/>
        <v>1</v>
      </c>
      <c r="CX35" s="465">
        <f t="shared" si="63"/>
        <v>0</v>
      </c>
      <c r="CY35" s="347"/>
      <c r="CZ35" s="347"/>
      <c r="DA35" s="347"/>
      <c r="DB35" s="347"/>
      <c r="DC35" s="347"/>
      <c r="DD35" s="347"/>
      <c r="DE35" s="347"/>
      <c r="DF35" s="347"/>
      <c r="DG35" s="347"/>
      <c r="DH35" s="347"/>
      <c r="DI35" s="347"/>
      <c r="DJ35" s="347"/>
      <c r="DK35" s="347"/>
      <c r="DL35" s="347"/>
      <c r="DM35" s="347"/>
      <c r="DN35" s="347"/>
      <c r="DO35" s="347"/>
    </row>
    <row r="36" spans="1:119" ht="16.5" thickTop="1" x14ac:dyDescent="0.25">
      <c r="A36" s="225"/>
      <c r="B36" s="304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10"/>
      <c r="AZ36" s="8"/>
      <c r="BA36" s="8"/>
      <c r="BB36" s="9"/>
      <c r="BC36" s="34"/>
      <c r="BD36" s="32"/>
      <c r="BE36" s="32"/>
      <c r="BF36" s="33"/>
      <c r="BG36" s="34"/>
      <c r="BH36" s="32"/>
      <c r="BI36" s="8"/>
      <c r="BK36" s="225"/>
      <c r="BL36" s="208"/>
      <c r="BM36" s="208"/>
      <c r="BN36" s="227"/>
      <c r="BO36" s="225"/>
      <c r="BP36" s="208"/>
      <c r="BQ36" s="208"/>
      <c r="BR36" s="208"/>
      <c r="BS36" s="225"/>
      <c r="BT36" s="208"/>
      <c r="BU36" s="208"/>
      <c r="BV36" s="227"/>
      <c r="BW36" s="208"/>
      <c r="BX36" s="208"/>
      <c r="BY36" s="208"/>
      <c r="BZ36" s="208"/>
      <c r="CA36" s="225"/>
      <c r="CB36" s="208"/>
      <c r="CC36" s="208"/>
      <c r="CD36" s="227"/>
      <c r="CE36" s="225"/>
      <c r="CF36" s="208"/>
      <c r="CG36" s="208"/>
      <c r="CH36" s="227"/>
      <c r="CI36" s="225"/>
      <c r="CJ36" s="208"/>
      <c r="CK36" s="208"/>
      <c r="CL36" s="227"/>
      <c r="CM36" s="225"/>
      <c r="CN36" s="208"/>
      <c r="CO36" s="208"/>
      <c r="CP36" s="227"/>
      <c r="CQ36" s="225"/>
      <c r="CR36" s="208"/>
      <c r="CS36" s="208"/>
      <c r="CT36" s="227"/>
      <c r="CU36" s="225"/>
      <c r="CV36" s="208"/>
      <c r="CW36" s="208"/>
      <c r="CX36" s="227"/>
    </row>
    <row r="37" spans="1:119" x14ac:dyDescent="0.25">
      <c r="A37" s="225"/>
      <c r="B37" s="292" t="s">
        <v>71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10"/>
      <c r="AZ37" s="8"/>
      <c r="BA37" s="8"/>
      <c r="BB37" s="9"/>
      <c r="BC37" s="34"/>
      <c r="BD37" s="32"/>
      <c r="BE37" s="32"/>
      <c r="BF37" s="33"/>
      <c r="BG37" s="34"/>
      <c r="BH37" s="32"/>
      <c r="BI37" s="8"/>
      <c r="BK37" s="225"/>
      <c r="BL37" s="208"/>
      <c r="BM37" s="208"/>
      <c r="BN37" s="227"/>
      <c r="BO37" s="225"/>
      <c r="BP37" s="208"/>
      <c r="BQ37" s="208"/>
      <c r="BR37" s="208"/>
      <c r="BS37" s="225"/>
      <c r="BT37" s="208"/>
      <c r="BU37" s="208"/>
      <c r="BV37" s="227"/>
      <c r="BW37" s="208"/>
      <c r="BX37" s="208"/>
      <c r="BY37" s="208"/>
      <c r="BZ37" s="208"/>
      <c r="CA37" s="225"/>
      <c r="CB37" s="208"/>
      <c r="CC37" s="208"/>
      <c r="CD37" s="227"/>
      <c r="CE37" s="225"/>
      <c r="CF37" s="208"/>
      <c r="CG37" s="208"/>
      <c r="CH37" s="227"/>
      <c r="CI37" s="225"/>
      <c r="CJ37" s="208"/>
      <c r="CK37" s="208"/>
      <c r="CL37" s="227"/>
      <c r="CM37" s="225"/>
      <c r="CN37" s="208"/>
      <c r="CO37" s="208"/>
      <c r="CP37" s="227"/>
      <c r="CQ37" s="225"/>
      <c r="CR37" s="208"/>
      <c r="CS37" s="208"/>
      <c r="CT37" s="227"/>
      <c r="CU37" s="225"/>
      <c r="CV37" s="208"/>
      <c r="CW37" s="208"/>
      <c r="CX37" s="227"/>
    </row>
    <row r="38" spans="1:119" x14ac:dyDescent="0.25">
      <c r="A38" s="225"/>
      <c r="B38" s="227" t="s">
        <v>72</v>
      </c>
      <c r="C38" s="32">
        <f>+C28*(1000000)/(C16)</f>
        <v>106742.90220820189</v>
      </c>
      <c r="D38" s="32">
        <f>+D28*(1000000)/(10252)</f>
        <v>105472.10300429184</v>
      </c>
      <c r="E38" s="32">
        <f>+E28*(1000000)/(10972)</f>
        <v>104547.94021144732</v>
      </c>
      <c r="F38" s="32">
        <f t="shared" ref="F38:BC38" si="64">+F28*(1000000)/(F16)</f>
        <v>100899.56504547253</v>
      </c>
      <c r="G38" s="32">
        <f t="shared" si="64"/>
        <v>94275.839723512254</v>
      </c>
      <c r="H38" s="32">
        <f t="shared" si="64"/>
        <v>86615.678776290632</v>
      </c>
      <c r="I38" s="32">
        <f t="shared" si="64"/>
        <v>85569.648420115715</v>
      </c>
      <c r="J38" s="32">
        <f t="shared" si="64"/>
        <v>84579.053016885111</v>
      </c>
      <c r="K38" s="32">
        <f t="shared" si="64"/>
        <v>88321.492007104796</v>
      </c>
      <c r="L38" s="32">
        <f t="shared" si="64"/>
        <v>83907.409458411785</v>
      </c>
      <c r="M38" s="32">
        <f t="shared" si="64"/>
        <v>81730.551145384437</v>
      </c>
      <c r="N38" s="32">
        <f t="shared" si="64"/>
        <v>84925.690021231421</v>
      </c>
      <c r="O38" s="32">
        <f t="shared" si="64"/>
        <v>81816.190163216132</v>
      </c>
      <c r="P38" s="32">
        <f t="shared" si="64"/>
        <v>87794.08590546083</v>
      </c>
      <c r="Q38" s="32">
        <f t="shared" si="64"/>
        <v>91425.402107598449</v>
      </c>
      <c r="R38" s="32">
        <f t="shared" si="64"/>
        <v>101064.06561737973</v>
      </c>
      <c r="S38" s="32">
        <f t="shared" si="64"/>
        <v>108486.83467058424</v>
      </c>
      <c r="T38" s="32">
        <f t="shared" si="64"/>
        <v>128932.23587777652</v>
      </c>
      <c r="U38" s="32">
        <f t="shared" si="64"/>
        <v>141977.7750031215</v>
      </c>
      <c r="V38" s="32">
        <f t="shared" si="64"/>
        <v>144370.77483099324</v>
      </c>
      <c r="W38" s="32">
        <f t="shared" si="64"/>
        <v>151932.42897363706</v>
      </c>
      <c r="X38" s="32">
        <f t="shared" si="64"/>
        <v>152030.11230408491</v>
      </c>
      <c r="Y38" s="32">
        <f t="shared" si="64"/>
        <v>154334.40355643368</v>
      </c>
      <c r="Z38" s="32">
        <f t="shared" si="64"/>
        <v>170030.86833982015</v>
      </c>
      <c r="AA38" s="8">
        <f t="shared" si="64"/>
        <v>223399.69372128637</v>
      </c>
      <c r="AB38" s="8">
        <f t="shared" si="64"/>
        <v>224933.68700265253</v>
      </c>
      <c r="AC38" s="8">
        <f t="shared" si="64"/>
        <v>216225.88674548847</v>
      </c>
      <c r="AD38" s="8">
        <f t="shared" si="64"/>
        <v>253818.24179449119</v>
      </c>
      <c r="AE38" s="8">
        <f t="shared" si="64"/>
        <v>290975.64619751979</v>
      </c>
      <c r="AF38" s="8">
        <f t="shared" si="64"/>
        <v>251825.03770739064</v>
      </c>
      <c r="AG38" s="8">
        <f t="shared" si="64"/>
        <v>240471.74613948751</v>
      </c>
      <c r="AH38" s="8">
        <f t="shared" si="64"/>
        <v>262746.78111587983</v>
      </c>
      <c r="AI38" s="8">
        <f t="shared" si="64"/>
        <v>267016.39344262297</v>
      </c>
      <c r="AJ38" s="8">
        <f t="shared" si="64"/>
        <v>289538.30191941897</v>
      </c>
      <c r="AK38" s="8">
        <f t="shared" si="64"/>
        <v>288150.24098387902</v>
      </c>
      <c r="AL38" s="8">
        <f t="shared" si="64"/>
        <v>301777.00348432054</v>
      </c>
      <c r="AM38" s="8">
        <f t="shared" si="64"/>
        <v>311565.99552572705</v>
      </c>
      <c r="AN38" s="8">
        <f t="shared" si="64"/>
        <v>327436.56627934548</v>
      </c>
      <c r="AO38" s="8">
        <f t="shared" si="64"/>
        <v>389825.04604051565</v>
      </c>
      <c r="AP38" s="8">
        <f t="shared" si="64"/>
        <v>437890.95519864751</v>
      </c>
      <c r="AQ38" s="8">
        <f t="shared" si="64"/>
        <v>419140.71928554185</v>
      </c>
      <c r="AR38" s="8">
        <f t="shared" si="64"/>
        <v>420956.56192236597</v>
      </c>
      <c r="AS38" s="8">
        <f t="shared" si="64"/>
        <v>435449.38189107919</v>
      </c>
      <c r="AT38" s="8">
        <f t="shared" si="64"/>
        <v>479196.11307420494</v>
      </c>
      <c r="AU38" s="8">
        <f t="shared" si="64"/>
        <v>469527.67902488576</v>
      </c>
      <c r="AV38" s="8">
        <f t="shared" si="64"/>
        <v>436626.61326212727</v>
      </c>
      <c r="AW38" s="8">
        <f t="shared" si="64"/>
        <v>424839.56209890527</v>
      </c>
      <c r="AX38" s="8">
        <f t="shared" si="64"/>
        <v>416392.46778989094</v>
      </c>
      <c r="AY38" s="10">
        <f t="shared" si="64"/>
        <v>455427.30844793713</v>
      </c>
      <c r="AZ38" s="8">
        <f t="shared" si="64"/>
        <v>434756.38051044091</v>
      </c>
      <c r="BA38" s="8">
        <f t="shared" si="64"/>
        <v>442761.64612492168</v>
      </c>
      <c r="BB38" s="9">
        <f t="shared" si="64"/>
        <v>433990.36355672363</v>
      </c>
      <c r="BC38" s="34">
        <f t="shared" si="64"/>
        <v>459872.77353689569</v>
      </c>
      <c r="BD38" s="32">
        <f>+BD28*(1000000)/(BD16)-23</f>
        <v>462121.67298359139</v>
      </c>
      <c r="BE38" s="32">
        <f>+BE28*(1000000)/(BE16)</f>
        <v>470702.02129971742</v>
      </c>
      <c r="BF38" s="33">
        <f>+BF28*(1000000)/(BF16)</f>
        <v>503851.29118432768</v>
      </c>
      <c r="BG38" s="34">
        <f>+BG28*(1000000)/(BG16)</f>
        <v>601554.80694480438</v>
      </c>
      <c r="BH38" s="32">
        <f>+BH28*(1000000)/(BH16)</f>
        <v>605555.5555555555</v>
      </c>
      <c r="BI38" s="32">
        <f>+BI28*(1000000)/(BI16)</f>
        <v>597760.07964161271</v>
      </c>
      <c r="BJ38" s="32">
        <f>+BJ28*(1000000)/(BJ16)+10717</f>
        <v>540842.02948808682</v>
      </c>
      <c r="BK38" s="213">
        <f>+BK28*(1000000)/(BK16)-12327</f>
        <v>515406.48519362183</v>
      </c>
      <c r="BL38" s="214">
        <f t="shared" ref="BL38:BR38" si="65">+BL28*(1000000)/(BL16)</f>
        <v>529765.39589442813</v>
      </c>
      <c r="BM38" s="214">
        <f t="shared" si="65"/>
        <v>540251.06837606838</v>
      </c>
      <c r="BN38" s="259">
        <f t="shared" si="65"/>
        <v>556072.21006564551</v>
      </c>
      <c r="BO38" s="213">
        <f t="shared" si="65"/>
        <v>511917.94203842396</v>
      </c>
      <c r="BP38" s="214">
        <f t="shared" si="65"/>
        <v>531518.94078705402</v>
      </c>
      <c r="BQ38" s="214">
        <f t="shared" si="65"/>
        <v>550528.1690140845</v>
      </c>
      <c r="BR38" s="214">
        <f t="shared" si="65"/>
        <v>557908.66975512903</v>
      </c>
      <c r="BS38" s="213">
        <v>582418</v>
      </c>
      <c r="BT38" s="214">
        <v>582100</v>
      </c>
      <c r="BU38" s="214">
        <v>651940</v>
      </c>
      <c r="BV38" s="259">
        <v>657985</v>
      </c>
      <c r="BW38" s="214">
        <v>768484</v>
      </c>
      <c r="BX38" s="214">
        <v>809783</v>
      </c>
      <c r="BY38" s="214">
        <v>1004843</v>
      </c>
      <c r="BZ38" s="214">
        <v>934379</v>
      </c>
      <c r="CA38" s="213">
        <v>855399</v>
      </c>
      <c r="CB38" s="214">
        <v>822181</v>
      </c>
      <c r="CC38" s="214">
        <v>839389</v>
      </c>
      <c r="CD38" s="259">
        <v>885874</v>
      </c>
      <c r="CE38" s="213">
        <v>916562</v>
      </c>
      <c r="CF38" s="214">
        <v>1000000</v>
      </c>
      <c r="CG38" s="214">
        <v>944020</v>
      </c>
      <c r="CH38" s="259">
        <v>972081</v>
      </c>
      <c r="CI38" s="213">
        <v>1070503</v>
      </c>
      <c r="CJ38" s="214">
        <v>1182760</v>
      </c>
      <c r="CK38" s="214">
        <v>1153446</v>
      </c>
      <c r="CL38" s="259">
        <v>1188494</v>
      </c>
      <c r="CM38" s="213">
        <v>1252688</v>
      </c>
      <c r="CN38" s="214">
        <v>1389895</v>
      </c>
      <c r="CO38" s="214">
        <v>1408540</v>
      </c>
      <c r="CP38" s="259">
        <v>1432675</v>
      </c>
      <c r="CQ38" s="213">
        <v>1678466</v>
      </c>
      <c r="CR38" s="214">
        <v>1842703</v>
      </c>
      <c r="CS38" s="214">
        <v>1857396</v>
      </c>
      <c r="CT38" s="259">
        <v>1923899</v>
      </c>
      <c r="CU38" s="213">
        <v>2487484</v>
      </c>
      <c r="CV38" s="214">
        <v>2355043</v>
      </c>
      <c r="CW38" s="214"/>
      <c r="CX38" s="259"/>
    </row>
    <row r="39" spans="1:119" x14ac:dyDescent="0.25">
      <c r="A39" s="225"/>
      <c r="B39" s="227" t="s">
        <v>73</v>
      </c>
      <c r="C39" s="32">
        <f>+C38/(32.15074)/(C50)</f>
        <v>287.9510893939995</v>
      </c>
      <c r="D39" s="32">
        <f t="shared" ref="D39:BH39" si="66">+D38/(32.15074)/(D50)</f>
        <v>312.13603987450392</v>
      </c>
      <c r="E39" s="32">
        <f t="shared" si="66"/>
        <v>313.27602092693922</v>
      </c>
      <c r="F39" s="32">
        <f t="shared" si="66"/>
        <v>321.22087223181535</v>
      </c>
      <c r="G39" s="32">
        <f t="shared" si="66"/>
        <v>349.91730223533642</v>
      </c>
      <c r="H39" s="32">
        <f t="shared" si="66"/>
        <v>348.06838575558038</v>
      </c>
      <c r="I39" s="32">
        <f t="shared" si="66"/>
        <v>357.7303922292524</v>
      </c>
      <c r="J39" s="32">
        <f t="shared" si="66"/>
        <v>389.15727082073471</v>
      </c>
      <c r="K39" s="32">
        <f t="shared" si="66"/>
        <v>404.58115446801543</v>
      </c>
      <c r="L39" s="32">
        <f t="shared" si="66"/>
        <v>395.42616615776558</v>
      </c>
      <c r="M39" s="32">
        <f t="shared" si="66"/>
        <v>399.7020158446407</v>
      </c>
      <c r="N39" s="32">
        <f t="shared" si="66"/>
        <v>431.61515832902546</v>
      </c>
      <c r="O39" s="32">
        <f t="shared" si="66"/>
        <v>427.6921836168782</v>
      </c>
      <c r="P39" s="32">
        <f t="shared" si="66"/>
        <v>427.33988607819629</v>
      </c>
      <c r="Q39" s="32">
        <f t="shared" si="66"/>
        <v>436.14240097578568</v>
      </c>
      <c r="R39" s="32">
        <f t="shared" si="66"/>
        <v>481.38506316570965</v>
      </c>
      <c r="S39" s="32">
        <f t="shared" si="66"/>
        <v>549.56326297710029</v>
      </c>
      <c r="T39" s="32">
        <f t="shared" si="66"/>
        <v>627.58084925158994</v>
      </c>
      <c r="U39" s="32">
        <f t="shared" si="66"/>
        <v>621.97230044314711</v>
      </c>
      <c r="V39" s="32">
        <f t="shared" si="66"/>
        <v>608.45988658288195</v>
      </c>
      <c r="W39" s="32">
        <f t="shared" si="66"/>
        <v>655.42687173769616</v>
      </c>
      <c r="X39" s="32">
        <f t="shared" si="66"/>
        <v>666.94866531055936</v>
      </c>
      <c r="Y39" s="32">
        <f t="shared" si="66"/>
        <v>676.10387622573762</v>
      </c>
      <c r="Z39" s="32">
        <f t="shared" si="66"/>
        <v>782.33021437582613</v>
      </c>
      <c r="AA39" s="8">
        <f t="shared" si="66"/>
        <v>932.68571951909428</v>
      </c>
      <c r="AB39" s="8">
        <f t="shared" si="66"/>
        <v>900.41456172504422</v>
      </c>
      <c r="AC39" s="8">
        <f t="shared" si="66"/>
        <v>868.91191550267536</v>
      </c>
      <c r="AD39" s="8">
        <f t="shared" si="66"/>
        <v>803.93395193498293</v>
      </c>
      <c r="AE39" s="8">
        <f t="shared" si="66"/>
        <v>911.4155196296266</v>
      </c>
      <c r="AF39" s="8">
        <f t="shared" si="66"/>
        <v>915.02754886151774</v>
      </c>
      <c r="AG39" s="8">
        <f t="shared" si="66"/>
        <v>956.45893928674195</v>
      </c>
      <c r="AH39" s="8">
        <f t="shared" si="66"/>
        <v>1091.1001442430045</v>
      </c>
      <c r="AI39" s="8">
        <f t="shared" si="66"/>
        <v>1107.3519860615877</v>
      </c>
      <c r="AJ39" s="8">
        <f t="shared" si="66"/>
        <v>1199.1544202903901</v>
      </c>
      <c r="AK39" s="8">
        <f t="shared" si="66"/>
        <v>1217.7277400074204</v>
      </c>
      <c r="AL39" s="8">
        <f t="shared" si="66"/>
        <v>1356.4040381993805</v>
      </c>
      <c r="AM39" s="8">
        <f t="shared" si="66"/>
        <v>1388.364999054548</v>
      </c>
      <c r="AN39" s="8">
        <f t="shared" si="66"/>
        <v>1502.1265078895026</v>
      </c>
      <c r="AO39" s="8">
        <f t="shared" si="66"/>
        <v>1719.8463479131226</v>
      </c>
      <c r="AP39" s="8">
        <f t="shared" si="66"/>
        <v>1685.6353896783548</v>
      </c>
      <c r="AQ39" s="8">
        <f t="shared" si="66"/>
        <v>1677.8296398625275</v>
      </c>
      <c r="AR39" s="8">
        <f t="shared" si="66"/>
        <v>1624.4684035481162</v>
      </c>
      <c r="AS39" s="8">
        <f t="shared" si="66"/>
        <v>1639.708536847249</v>
      </c>
      <c r="AT39" s="8">
        <f t="shared" si="66"/>
        <v>1719.1082157767321</v>
      </c>
      <c r="AU39" s="8">
        <f t="shared" si="66"/>
        <v>1642.7386113834962</v>
      </c>
      <c r="AV39" s="8">
        <f t="shared" si="66"/>
        <v>1443.2102561611916</v>
      </c>
      <c r="AW39" s="8">
        <f t="shared" si="66"/>
        <v>1324.0471105389147</v>
      </c>
      <c r="AX39" s="8">
        <f t="shared" si="66"/>
        <v>1281.0342341871492</v>
      </c>
      <c r="AY39" s="10">
        <f t="shared" si="66"/>
        <v>1309.1844377527386</v>
      </c>
      <c r="AZ39" s="8">
        <f t="shared" si="66"/>
        <v>1284.1821232278667</v>
      </c>
      <c r="BA39" s="8">
        <f t="shared" si="66"/>
        <v>1284.6482650912362</v>
      </c>
      <c r="BB39" s="9">
        <f t="shared" si="66"/>
        <v>1205.2332109083306</v>
      </c>
      <c r="BC39" s="34">
        <f t="shared" si="66"/>
        <v>1222.5337662387783</v>
      </c>
      <c r="BD39" s="32">
        <f t="shared" si="66"/>
        <v>1190.8528310729528</v>
      </c>
      <c r="BE39" s="32">
        <f t="shared" si="66"/>
        <v>1126.1901838740246</v>
      </c>
      <c r="BF39" s="33">
        <f t="shared" si="66"/>
        <v>1102.852227150438</v>
      </c>
      <c r="BG39" s="34">
        <f t="shared" si="66"/>
        <v>1184.9556557577716</v>
      </c>
      <c r="BH39" s="32">
        <f t="shared" si="66"/>
        <v>1258.1754857338517</v>
      </c>
      <c r="BI39" s="32">
        <f>+BI38/(32.15074)/(BI50)+1</f>
        <v>1323.3627715265893</v>
      </c>
      <c r="BJ39" s="32">
        <f t="shared" ref="BJ39:BO39" si="67">+BJ38/(32.15074)/(BJ50)</f>
        <v>1211.9647661035519</v>
      </c>
      <c r="BK39" s="213">
        <f t="shared" si="67"/>
        <v>1213.5455662395673</v>
      </c>
      <c r="BL39" s="214">
        <f t="shared" si="67"/>
        <v>1248.2991717520113</v>
      </c>
      <c r="BM39" s="214">
        <f t="shared" si="67"/>
        <v>1274.9385435906354</v>
      </c>
      <c r="BN39" s="259">
        <f t="shared" si="67"/>
        <v>1268.9495684925823</v>
      </c>
      <c r="BO39" s="213">
        <f t="shared" si="67"/>
        <v>1331.3069470537348</v>
      </c>
      <c r="BP39" s="214">
        <f>+BP38/(32.15074)/(BP50)-1</f>
        <v>1305.884618273145</v>
      </c>
      <c r="BQ39" s="214">
        <f>+BQ38/(32.15074)/(BQ50)-1</f>
        <v>1217.7433189393523</v>
      </c>
      <c r="BR39" s="214">
        <f t="shared" ref="BR39:BW39" si="68">+BR38/(32.15074)/(BR50)</f>
        <v>1212.641712897971</v>
      </c>
      <c r="BS39" s="213">
        <f t="shared" si="68"/>
        <v>1293.021302781829</v>
      </c>
      <c r="BT39" s="214">
        <f t="shared" si="68"/>
        <v>1258.1888495017538</v>
      </c>
      <c r="BU39" s="214">
        <f t="shared" si="68"/>
        <v>1382.2498164861631</v>
      </c>
      <c r="BV39" s="259">
        <f t="shared" si="68"/>
        <v>1390.3278100218722</v>
      </c>
      <c r="BW39" s="214">
        <f t="shared" si="68"/>
        <v>1554.1306338510558</v>
      </c>
      <c r="BX39" s="214">
        <f t="shared" ref="BX39:BY39" si="69">+BX38/(32.15074)/(BX50)</f>
        <v>1403.1794930046647</v>
      </c>
      <c r="BY39" s="214">
        <f t="shared" si="69"/>
        <v>1848.2624082544412</v>
      </c>
      <c r="BZ39" s="214">
        <f t="shared" ref="BZ39:CB39" si="70">+BZ38/(32.15074)/(BZ50)</f>
        <v>1861.7835673652989</v>
      </c>
      <c r="CA39" s="213">
        <f t="shared" si="70"/>
        <v>1778.4684750679751</v>
      </c>
      <c r="CB39" s="214">
        <f t="shared" si="70"/>
        <v>1809.815490699594</v>
      </c>
      <c r="CC39" s="214">
        <f t="shared" ref="CC39:CF39" si="71">+CC38/(32.15074)/(CC50)</f>
        <v>1784.5469324477601</v>
      </c>
      <c r="CD39" s="259">
        <f t="shared" si="71"/>
        <v>1786.8850217999552</v>
      </c>
      <c r="CE39" s="213">
        <f t="shared" si="71"/>
        <v>1873.0795484366397</v>
      </c>
      <c r="CF39" s="214">
        <f t="shared" si="71"/>
        <v>1995.0919278168415</v>
      </c>
      <c r="CG39" s="214">
        <f t="shared" ref="CG39:CJ39" si="72">+CG38/(32.15074)/(CG50)</f>
        <v>1722.129628602137</v>
      </c>
      <c r="CH39" s="259">
        <f t="shared" si="72"/>
        <v>1716.9281662958251</v>
      </c>
      <c r="CI39" s="213">
        <f t="shared" si="72"/>
        <v>1874.7957222701502</v>
      </c>
      <c r="CJ39" s="214">
        <f t="shared" si="72"/>
        <v>1971.4874456597565</v>
      </c>
      <c r="CK39" s="214">
        <f t="shared" ref="CK39:CP39" si="73">+CK38/(32.15074)/(CK50)</f>
        <v>1929.8648860040462</v>
      </c>
      <c r="CL39" s="259">
        <f t="shared" si="73"/>
        <v>1982.1074052772067</v>
      </c>
      <c r="CM39" s="213">
        <f t="shared" si="73"/>
        <v>2065.9045655381992</v>
      </c>
      <c r="CN39" s="214">
        <f t="shared" si="73"/>
        <v>2327.9793063679322</v>
      </c>
      <c r="CO39" s="214">
        <f t="shared" si="73"/>
        <v>2439.3374255384865</v>
      </c>
      <c r="CP39" s="259">
        <f t="shared" si="73"/>
        <v>2492.236170503862</v>
      </c>
      <c r="CQ39" s="213">
        <f t="shared" ref="CQ39:CT39" si="74">+CQ38/(32.15074)/(CQ50)</f>
        <v>2825.0075193007146</v>
      </c>
      <c r="CR39" s="214">
        <f t="shared" si="74"/>
        <v>3133.6512695215883</v>
      </c>
      <c r="CS39" s="214">
        <f t="shared" si="74"/>
        <v>3275.0275055295538</v>
      </c>
      <c r="CT39" s="259">
        <f t="shared" si="74"/>
        <v>3497.3676293264753</v>
      </c>
      <c r="CU39" s="213">
        <f t="shared" ref="CU39:CX39" si="75">+CU38/(32.15074)/(CU50)</f>
        <v>4734.9704217562803</v>
      </c>
      <c r="CV39" s="214">
        <f t="shared" si="75"/>
        <v>4444.7839975127845</v>
      </c>
      <c r="CW39" s="214" t="e">
        <f t="shared" si="75"/>
        <v>#DIV/0!</v>
      </c>
      <c r="CX39" s="259" t="e">
        <f t="shared" si="75"/>
        <v>#DIV/0!</v>
      </c>
    </row>
    <row r="40" spans="1:119" x14ac:dyDescent="0.25">
      <c r="A40" s="225"/>
      <c r="B40" s="227" t="s">
        <v>138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10"/>
      <c r="AZ40" s="8"/>
      <c r="BA40" s="8"/>
      <c r="BB40" s="9"/>
      <c r="BC40" s="34"/>
      <c r="BD40" s="32"/>
      <c r="BE40" s="32"/>
      <c r="BF40" s="33"/>
      <c r="BG40" s="34"/>
      <c r="BH40" s="32"/>
      <c r="BI40" s="32"/>
      <c r="BJ40" s="32"/>
      <c r="BK40" s="213"/>
      <c r="BL40" s="214"/>
      <c r="BM40" s="214"/>
      <c r="BN40" s="259"/>
      <c r="BO40" s="213">
        <f>(-BO29/BO16)*1000000</f>
        <v>488407.684793227</v>
      </c>
      <c r="BP40" s="214">
        <f>(-BP29/BP16)*1000000</f>
        <v>543435.08642883413</v>
      </c>
      <c r="BQ40" s="214">
        <f>(-BQ29/BQ16)*1000000</f>
        <v>660123.23943661968</v>
      </c>
      <c r="BR40" s="214">
        <f>(-BR29/BR16)*1000000</f>
        <v>815420.25148908002</v>
      </c>
      <c r="BS40" s="213">
        <f>823.8/BS16*1000000</f>
        <v>8858064.5161290318</v>
      </c>
      <c r="BT40" s="214">
        <f>(1040.6+117.1)/BT16*1000000</f>
        <v>1932721.2020033386</v>
      </c>
      <c r="BU40" s="214">
        <v>633736</v>
      </c>
      <c r="BV40" s="259">
        <v>494603</v>
      </c>
      <c r="BW40" s="214">
        <v>640267</v>
      </c>
      <c r="BX40" s="214">
        <v>1126931</v>
      </c>
      <c r="BY40" s="214">
        <v>587995</v>
      </c>
      <c r="BZ40" s="214">
        <v>507379</v>
      </c>
      <c r="CA40" s="213">
        <v>573288</v>
      </c>
      <c r="CB40" s="214">
        <v>650181</v>
      </c>
      <c r="CC40" s="214">
        <v>595585</v>
      </c>
      <c r="CD40" s="259">
        <v>643663</v>
      </c>
      <c r="CE40" s="213">
        <v>883345</v>
      </c>
      <c r="CF40" s="214">
        <v>131285714</v>
      </c>
      <c r="CG40" s="214">
        <v>992308</v>
      </c>
      <c r="CH40" s="259">
        <v>917688</v>
      </c>
      <c r="CI40" s="213">
        <v>825839</v>
      </c>
      <c r="CJ40" s="214">
        <v>807786</v>
      </c>
      <c r="CK40" s="214">
        <v>1175251</v>
      </c>
      <c r="CL40" s="259">
        <v>900831</v>
      </c>
      <c r="CM40" s="213">
        <v>1043506</v>
      </c>
      <c r="CN40" s="214">
        <v>872480</v>
      </c>
      <c r="CO40" s="214">
        <v>996257</v>
      </c>
      <c r="CP40" s="259">
        <v>1003129</v>
      </c>
      <c r="CQ40" s="213">
        <v>1193033</v>
      </c>
      <c r="CR40" s="214">
        <v>1040243</v>
      </c>
      <c r="CS40" s="214">
        <v>921343</v>
      </c>
      <c r="CT40" s="259">
        <v>1038047</v>
      </c>
      <c r="CU40" s="213">
        <v>1341264</v>
      </c>
      <c r="CV40" s="214">
        <v>1144707</v>
      </c>
      <c r="CW40" s="214"/>
      <c r="CX40" s="259"/>
    </row>
    <row r="41" spans="1:119" x14ac:dyDescent="0.25">
      <c r="A41" s="225"/>
      <c r="B41" s="227" t="s">
        <v>139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10"/>
      <c r="AZ41" s="8"/>
      <c r="BA41" s="8"/>
      <c r="BB41" s="9"/>
      <c r="BC41" s="34"/>
      <c r="BD41" s="32"/>
      <c r="BE41" s="32"/>
      <c r="BF41" s="33"/>
      <c r="BG41" s="34"/>
      <c r="BH41" s="32"/>
      <c r="BI41" s="32"/>
      <c r="BJ41" s="32"/>
      <c r="BK41" s="213"/>
      <c r="BL41" s="214"/>
      <c r="BM41" s="214"/>
      <c r="BN41" s="259"/>
      <c r="BO41" s="213">
        <f>+BO40/(32.15074)/(BO50)</f>
        <v>1270.1655682754895</v>
      </c>
      <c r="BP41" s="214">
        <f>+BP40/(32.15074)/(BP50)</f>
        <v>1336.1837198729584</v>
      </c>
      <c r="BQ41" s="214">
        <f>+BQ40/(32.15074)/(BQ50)-1</f>
        <v>1460.3617123003203</v>
      </c>
      <c r="BR41" s="214">
        <f>+BR40/(32.15074)/(BR50)+1</f>
        <v>1773.3556992426932</v>
      </c>
      <c r="BS41" s="213">
        <f>+BS40/(32.15074)/(BS50)</f>
        <v>19665.71452250901</v>
      </c>
      <c r="BT41" s="214">
        <f>+BT40/(32.15074)/(BT50)</f>
        <v>4177.5094752726809</v>
      </c>
      <c r="BU41" s="214">
        <f>+BU40/(32.15074)/(BU50)</f>
        <v>1343.6535106001702</v>
      </c>
      <c r="BV41" s="259">
        <f>+BV40/(32.15074)/(BV50)+1</f>
        <v>1046.1002770887605</v>
      </c>
      <c r="BW41" s="214">
        <f t="shared" ref="BW41:CB41" si="76">+BW40/(32.15074)/(BW50)</f>
        <v>1294.8331501292334</v>
      </c>
      <c r="BX41" s="214">
        <f t="shared" si="76"/>
        <v>1952.7286559871468</v>
      </c>
      <c r="BY41" s="214">
        <f t="shared" si="76"/>
        <v>1081.5311991441151</v>
      </c>
      <c r="BZ41" s="214">
        <f t="shared" si="76"/>
        <v>1010.9707994574344</v>
      </c>
      <c r="CA41" s="213">
        <f t="shared" si="76"/>
        <v>1191.928719971346</v>
      </c>
      <c r="CB41" s="214">
        <f t="shared" si="76"/>
        <v>1431.2026738133727</v>
      </c>
      <c r="CC41" s="214">
        <f t="shared" ref="CC41:CF41" si="77">+CC40/(32.15074)/(CC50)</f>
        <v>1266.2179094101771</v>
      </c>
      <c r="CD41" s="259">
        <f t="shared" si="77"/>
        <v>1298.3243370804705</v>
      </c>
      <c r="CE41" s="213">
        <f t="shared" si="77"/>
        <v>1805.1975247869359</v>
      </c>
      <c r="CF41" s="214">
        <f t="shared" si="77"/>
        <v>261927.0682390705</v>
      </c>
      <c r="CG41" s="214">
        <f t="shared" ref="CG41:CJ41" si="78">+CG40/(32.15074)/(CG50)</f>
        <v>1810.2190710990544</v>
      </c>
      <c r="CH41" s="259">
        <f t="shared" si="78"/>
        <v>1620.8570839998756</v>
      </c>
      <c r="CI41" s="213">
        <f t="shared" si="78"/>
        <v>1446.310215369652</v>
      </c>
      <c r="CJ41" s="214">
        <f t="shared" si="78"/>
        <v>1346.4607847574418</v>
      </c>
      <c r="CK41" s="214">
        <f t="shared" ref="CK41:CP41" si="79">+CK40/(32.15074)/(CK50)</f>
        <v>1966.3474814955719</v>
      </c>
      <c r="CL41" s="259">
        <f t="shared" si="79"/>
        <v>1502.3582752653958</v>
      </c>
      <c r="CM41" s="213">
        <f t="shared" si="79"/>
        <v>1720.9263675923328</v>
      </c>
      <c r="CN41" s="214">
        <f t="shared" si="79"/>
        <v>1461.3444794174331</v>
      </c>
      <c r="CO41" s="214">
        <f t="shared" si="79"/>
        <v>1725.3375733416842</v>
      </c>
      <c r="CP41" s="259">
        <f t="shared" si="79"/>
        <v>1745.0115186496366</v>
      </c>
      <c r="CQ41" s="213">
        <f t="shared" ref="CQ41:CT41" si="80">+CQ40/(32.15074)/(CQ50)</f>
        <v>2007.9806178819763</v>
      </c>
      <c r="CR41" s="214">
        <f t="shared" si="80"/>
        <v>1769.0093289916747</v>
      </c>
      <c r="CS41" s="214">
        <f t="shared" si="80"/>
        <v>1624.5451519369676</v>
      </c>
      <c r="CT41" s="259">
        <f t="shared" si="80"/>
        <v>1887.0179648305134</v>
      </c>
      <c r="CU41" s="213">
        <f t="shared" ref="CU41:CX41" si="81">+CU40/(32.15074)/(CU50)</f>
        <v>2553.1200875127297</v>
      </c>
      <c r="CV41" s="214">
        <f t="shared" si="81"/>
        <v>2160.459641476129</v>
      </c>
      <c r="CW41" s="214" t="e">
        <f t="shared" si="81"/>
        <v>#DIV/0!</v>
      </c>
      <c r="CX41" s="259" t="e">
        <f t="shared" si="81"/>
        <v>#DIV/0!</v>
      </c>
    </row>
    <row r="42" spans="1:119" ht="15" hidden="1" customHeight="1" x14ac:dyDescent="0.25">
      <c r="A42" s="225"/>
      <c r="B42" s="227" t="s">
        <v>74</v>
      </c>
      <c r="C42" s="32">
        <v>52326</v>
      </c>
      <c r="D42" s="32">
        <v>49639</v>
      </c>
      <c r="E42" s="32">
        <v>55113</v>
      </c>
      <c r="F42" s="32">
        <v>56396</v>
      </c>
      <c r="G42" s="32">
        <v>61184</v>
      </c>
      <c r="H42" s="32">
        <v>63784</v>
      </c>
      <c r="I42" s="32">
        <v>67835</v>
      </c>
      <c r="J42" s="32">
        <v>73126</v>
      </c>
      <c r="K42" s="32">
        <v>67607</v>
      </c>
      <c r="L42" s="32">
        <v>67372</v>
      </c>
      <c r="M42" s="32">
        <v>67419</v>
      </c>
      <c r="N42" s="32">
        <v>67114</v>
      </c>
      <c r="O42" s="32">
        <v>64520</v>
      </c>
      <c r="P42" s="32">
        <v>64548</v>
      </c>
      <c r="Q42" s="32">
        <v>69872</v>
      </c>
      <c r="R42" s="32">
        <v>71935</v>
      </c>
      <c r="S42" s="32">
        <v>74280</v>
      </c>
      <c r="T42" s="32">
        <v>76423</v>
      </c>
      <c r="U42" s="32">
        <v>77163</v>
      </c>
      <c r="V42" s="32">
        <v>81721</v>
      </c>
      <c r="W42" s="32">
        <v>82506</v>
      </c>
      <c r="X42" s="32">
        <v>80538</v>
      </c>
      <c r="Y42" s="32">
        <v>85058</v>
      </c>
      <c r="Z42" s="32">
        <v>94390</v>
      </c>
      <c r="AA42" s="8">
        <v>104870</v>
      </c>
      <c r="AB42" s="8">
        <v>103537</v>
      </c>
      <c r="AC42" s="8">
        <v>130149</v>
      </c>
      <c r="AD42" s="8">
        <v>137886</v>
      </c>
      <c r="AE42" s="8">
        <v>122680</v>
      </c>
      <c r="AF42" s="8">
        <v>129397</v>
      </c>
      <c r="AG42" s="8">
        <v>154387</v>
      </c>
      <c r="AH42" s="8">
        <v>154678</v>
      </c>
      <c r="AI42" s="8">
        <v>195650</v>
      </c>
      <c r="AJ42" s="8">
        <v>175584</v>
      </c>
      <c r="AK42" s="8">
        <v>171780</v>
      </c>
      <c r="AL42" s="8">
        <v>175261</v>
      </c>
      <c r="AM42" s="8">
        <v>205503</v>
      </c>
      <c r="AN42" s="8">
        <v>235215</v>
      </c>
      <c r="AO42" s="8">
        <v>234392</v>
      </c>
      <c r="AP42" s="8">
        <v>215786</v>
      </c>
      <c r="AQ42" s="8">
        <v>253126</v>
      </c>
      <c r="AR42" s="8">
        <v>255037</v>
      </c>
      <c r="AS42" s="8">
        <v>373137</v>
      </c>
      <c r="AT42" s="8">
        <v>443021</v>
      </c>
      <c r="AU42" s="8">
        <v>296039</v>
      </c>
      <c r="AV42" s="8">
        <v>282621</v>
      </c>
      <c r="AW42" s="8">
        <v>244772</v>
      </c>
      <c r="AX42" s="8">
        <v>250030</v>
      </c>
      <c r="AY42" s="10">
        <v>285167</v>
      </c>
      <c r="AZ42" s="8">
        <v>290023</v>
      </c>
      <c r="BA42" s="8">
        <v>279110</v>
      </c>
      <c r="BB42" s="9">
        <v>279019</v>
      </c>
      <c r="BC42" s="34">
        <v>324784</v>
      </c>
      <c r="BD42" s="32">
        <v>315969</v>
      </c>
      <c r="BE42" s="32">
        <v>313497</v>
      </c>
      <c r="BF42" s="33">
        <v>286821</v>
      </c>
      <c r="BG42" s="34">
        <v>361907</v>
      </c>
      <c r="BH42" s="32">
        <v>358445</v>
      </c>
      <c r="BI42" s="32">
        <v>378372</v>
      </c>
      <c r="BJ42" s="32">
        <v>324260</v>
      </c>
      <c r="BK42" s="213">
        <v>426446</v>
      </c>
      <c r="BL42" s="214">
        <v>385802</v>
      </c>
      <c r="BM42" s="214">
        <v>420700</v>
      </c>
      <c r="BN42" s="215" t="s">
        <v>77</v>
      </c>
      <c r="BO42" s="216" t="s">
        <v>77</v>
      </c>
      <c r="BP42" s="217" t="s">
        <v>77</v>
      </c>
      <c r="BQ42" s="217" t="s">
        <v>77</v>
      </c>
      <c r="BR42" s="217" t="s">
        <v>77</v>
      </c>
      <c r="BS42" s="216" t="s">
        <v>77</v>
      </c>
      <c r="BT42" s="217" t="s">
        <v>77</v>
      </c>
      <c r="BU42" s="217" t="s">
        <v>77</v>
      </c>
      <c r="BV42" s="215" t="s">
        <v>77</v>
      </c>
      <c r="BW42" s="217" t="s">
        <v>77</v>
      </c>
      <c r="BX42" s="217" t="s">
        <v>77</v>
      </c>
      <c r="BY42" s="217" t="s">
        <v>77</v>
      </c>
      <c r="BZ42" s="217" t="s">
        <v>77</v>
      </c>
      <c r="CA42" s="216" t="s">
        <v>77</v>
      </c>
      <c r="CB42" s="217" t="s">
        <v>77</v>
      </c>
      <c r="CC42" s="217" t="s">
        <v>77</v>
      </c>
      <c r="CD42" s="215" t="s">
        <v>77</v>
      </c>
      <c r="CE42" s="216" t="s">
        <v>77</v>
      </c>
      <c r="CF42" s="217" t="s">
        <v>77</v>
      </c>
      <c r="CG42" s="217" t="s">
        <v>77</v>
      </c>
      <c r="CH42" s="215" t="s">
        <v>77</v>
      </c>
      <c r="CI42" s="216" t="s">
        <v>77</v>
      </c>
      <c r="CJ42" s="217" t="s">
        <v>77</v>
      </c>
      <c r="CK42" s="217" t="s">
        <v>77</v>
      </c>
      <c r="CL42" s="215" t="s">
        <v>77</v>
      </c>
      <c r="CM42" s="216"/>
      <c r="CN42" s="217"/>
      <c r="CO42" s="217"/>
      <c r="CP42" s="215"/>
      <c r="CQ42" s="216"/>
      <c r="CR42" s="217"/>
      <c r="CS42" s="217"/>
      <c r="CT42" s="215"/>
      <c r="CU42" s="216"/>
      <c r="CV42" s="217"/>
      <c r="CW42" s="217"/>
      <c r="CX42" s="215"/>
    </row>
    <row r="43" spans="1:119" ht="15" hidden="1" customHeight="1" x14ac:dyDescent="0.25">
      <c r="A43" s="225"/>
      <c r="B43" s="227" t="s">
        <v>75</v>
      </c>
      <c r="C43" s="32">
        <f>+C42/(32.15074)/(C50)</f>
        <v>141.15532173035368</v>
      </c>
      <c r="D43" s="32">
        <f t="shared" ref="D43:BH43" si="82">+D42/(32.15074)/(D50)</f>
        <v>146.90254998234008</v>
      </c>
      <c r="E43" s="32">
        <f t="shared" si="82"/>
        <v>165.14511243767126</v>
      </c>
      <c r="F43" s="32">
        <f t="shared" si="82"/>
        <v>179.54063827947417</v>
      </c>
      <c r="G43" s="32">
        <f t="shared" si="82"/>
        <v>227.09254335739814</v>
      </c>
      <c r="H43" s="32">
        <f t="shared" si="82"/>
        <v>256.31841983683773</v>
      </c>
      <c r="I43" s="32">
        <f t="shared" si="82"/>
        <v>283.58935212320836</v>
      </c>
      <c r="J43" s="32">
        <f t="shared" si="82"/>
        <v>336.46054869349121</v>
      </c>
      <c r="K43" s="32">
        <f t="shared" si="82"/>
        <v>309.69266356957394</v>
      </c>
      <c r="L43" s="32">
        <f t="shared" si="82"/>
        <v>317.50058592364559</v>
      </c>
      <c r="M43" s="32">
        <f t="shared" si="82"/>
        <v>329.71159289376254</v>
      </c>
      <c r="N43" s="32">
        <f t="shared" si="82"/>
        <v>341.09136739250931</v>
      </c>
      <c r="O43" s="32">
        <f t="shared" si="82"/>
        <v>337.27676187209363</v>
      </c>
      <c r="P43" s="32">
        <f t="shared" si="82"/>
        <v>314.18898758486512</v>
      </c>
      <c r="Q43" s="32">
        <f t="shared" si="82"/>
        <v>333.32248082557089</v>
      </c>
      <c r="R43" s="32">
        <f t="shared" si="82"/>
        <v>342.63844727883532</v>
      </c>
      <c r="S43" s="32">
        <f t="shared" si="82"/>
        <v>376.28122617727746</v>
      </c>
      <c r="T43" s="32">
        <f t="shared" si="82"/>
        <v>371.99084399513771</v>
      </c>
      <c r="U43" s="32">
        <f t="shared" si="82"/>
        <v>338.03353107934953</v>
      </c>
      <c r="V43" s="32">
        <f t="shared" si="82"/>
        <v>344.41839388649629</v>
      </c>
      <c r="W43" s="32">
        <f t="shared" si="82"/>
        <v>355.92565619400199</v>
      </c>
      <c r="X43" s="32">
        <f t="shared" si="82"/>
        <v>353.31626605223897</v>
      </c>
      <c r="Y43" s="32">
        <f t="shared" si="82"/>
        <v>372.61972819288144</v>
      </c>
      <c r="Z43" s="32">
        <f t="shared" si="82"/>
        <v>434.29848742141832</v>
      </c>
      <c r="AA43" s="8">
        <f t="shared" si="82"/>
        <v>437.82849374894926</v>
      </c>
      <c r="AB43" s="8">
        <f t="shared" si="82"/>
        <v>414.46091832490407</v>
      </c>
      <c r="AC43" s="8">
        <f t="shared" si="82"/>
        <v>523.00868592977224</v>
      </c>
      <c r="AD43" s="8">
        <f t="shared" si="82"/>
        <v>436.734712654183</v>
      </c>
      <c r="AE43" s="8">
        <f t="shared" si="82"/>
        <v>384.26740316356978</v>
      </c>
      <c r="AF43" s="8">
        <f t="shared" si="82"/>
        <v>470.17493104721143</v>
      </c>
      <c r="AG43" s="8">
        <f t="shared" si="82"/>
        <v>614.06310150884872</v>
      </c>
      <c r="AH43" s="8">
        <f t="shared" si="82"/>
        <v>642.32637748961349</v>
      </c>
      <c r="AI43" s="8">
        <f t="shared" si="82"/>
        <v>811.38619722801616</v>
      </c>
      <c r="AJ43" s="8">
        <f t="shared" si="82"/>
        <v>727.20026447784574</v>
      </c>
      <c r="AK43" s="8">
        <f t="shared" si="82"/>
        <v>725.94515438971166</v>
      </c>
      <c r="AL43" s="8">
        <f t="shared" si="82"/>
        <v>787.74964756787062</v>
      </c>
      <c r="AM43" s="8">
        <f t="shared" si="82"/>
        <v>915.73912589298425</v>
      </c>
      <c r="AN43" s="8">
        <f t="shared" si="82"/>
        <v>1079.056901213042</v>
      </c>
      <c r="AO43" s="8">
        <f t="shared" si="82"/>
        <v>1034.1003721401612</v>
      </c>
      <c r="AP43" s="8">
        <f t="shared" si="82"/>
        <v>830.65547227876812</v>
      </c>
      <c r="AQ43" s="8">
        <f t="shared" si="82"/>
        <v>1013.2690189198998</v>
      </c>
      <c r="AR43" s="8">
        <f t="shared" si="82"/>
        <v>984.185984282405</v>
      </c>
      <c r="AS43" s="8">
        <f t="shared" si="82"/>
        <v>1405.06784429565</v>
      </c>
      <c r="AT43" s="8">
        <f t="shared" si="82"/>
        <v>1589.3305894651266</v>
      </c>
      <c r="AU43" s="8">
        <f t="shared" si="82"/>
        <v>1035.7529864593635</v>
      </c>
      <c r="AV43" s="8">
        <f t="shared" si="82"/>
        <v>934.16551675392691</v>
      </c>
      <c r="AW43" s="8">
        <f t="shared" si="82"/>
        <v>762.8518816366286</v>
      </c>
      <c r="AX43" s="8">
        <f t="shared" si="82"/>
        <v>769.21898053024529</v>
      </c>
      <c r="AY43" s="10">
        <f t="shared" si="82"/>
        <v>819.74925885085281</v>
      </c>
      <c r="AZ43" s="8">
        <f t="shared" si="82"/>
        <v>856.66908784095733</v>
      </c>
      <c r="BA43" s="8">
        <f t="shared" si="82"/>
        <v>809.82212530768891</v>
      </c>
      <c r="BB43" s="9">
        <f t="shared" si="82"/>
        <v>774.8627469938707</v>
      </c>
      <c r="BC43" s="34">
        <f t="shared" si="82"/>
        <v>863.41142503457911</v>
      </c>
      <c r="BD43" s="32">
        <f t="shared" si="82"/>
        <v>814.22837356223749</v>
      </c>
      <c r="BE43" s="32">
        <f t="shared" si="82"/>
        <v>750.06528142599041</v>
      </c>
      <c r="BF43" s="33">
        <f t="shared" si="82"/>
        <v>627.80662504602697</v>
      </c>
      <c r="BG43" s="34">
        <f t="shared" si="82"/>
        <v>712.8922278692329</v>
      </c>
      <c r="BH43" s="32">
        <f t="shared" si="82"/>
        <v>744.74869868896042</v>
      </c>
      <c r="BI43" s="32">
        <f>+BI42/(32.15074)/(BI50)</f>
        <v>837.03322391157451</v>
      </c>
      <c r="BJ43" s="32">
        <f>+BJ42/(32.15074)/(BJ50)-1</f>
        <v>725.62935502388541</v>
      </c>
      <c r="BK43" s="213">
        <f>+BK42/(32.15074)/(BK50)</f>
        <v>1004.0844797406571</v>
      </c>
      <c r="BL43" s="214">
        <f>+BL42/(32.15074)/(BL50)</f>
        <v>909.07469757847707</v>
      </c>
      <c r="BM43" s="214">
        <f>+BM42/(32.15074)/(BM50)</f>
        <v>992.80996685640207</v>
      </c>
      <c r="BN43" s="215" t="s">
        <v>77</v>
      </c>
      <c r="BO43" s="216" t="s">
        <v>77</v>
      </c>
      <c r="BP43" s="217" t="s">
        <v>77</v>
      </c>
      <c r="BQ43" s="217" t="s">
        <v>77</v>
      </c>
      <c r="BR43" s="217" t="s">
        <v>77</v>
      </c>
      <c r="BS43" s="216" t="s">
        <v>77</v>
      </c>
      <c r="BT43" s="217" t="s">
        <v>77</v>
      </c>
      <c r="BU43" s="217" t="s">
        <v>77</v>
      </c>
      <c r="BV43" s="215" t="s">
        <v>77</v>
      </c>
      <c r="BW43" s="217" t="s">
        <v>77</v>
      </c>
      <c r="BX43" s="217" t="s">
        <v>77</v>
      </c>
      <c r="BY43" s="217" t="s">
        <v>77</v>
      </c>
      <c r="BZ43" s="217" t="s">
        <v>77</v>
      </c>
      <c r="CA43" s="216" t="s">
        <v>77</v>
      </c>
      <c r="CB43" s="217" t="s">
        <v>77</v>
      </c>
      <c r="CC43" s="217" t="s">
        <v>77</v>
      </c>
      <c r="CD43" s="215" t="s">
        <v>77</v>
      </c>
      <c r="CE43" s="216" t="s">
        <v>77</v>
      </c>
      <c r="CF43" s="217" t="s">
        <v>77</v>
      </c>
      <c r="CG43" s="217" t="s">
        <v>77</v>
      </c>
      <c r="CH43" s="215" t="s">
        <v>77</v>
      </c>
      <c r="CI43" s="216" t="s">
        <v>77</v>
      </c>
      <c r="CJ43" s="217" t="s">
        <v>77</v>
      </c>
      <c r="CK43" s="217" t="s">
        <v>77</v>
      </c>
      <c r="CL43" s="215" t="s">
        <v>77</v>
      </c>
      <c r="CM43" s="216"/>
      <c r="CN43" s="217"/>
      <c r="CO43" s="217"/>
      <c r="CP43" s="215"/>
      <c r="CQ43" s="216"/>
      <c r="CR43" s="217"/>
      <c r="CS43" s="217"/>
      <c r="CT43" s="215"/>
      <c r="CU43" s="216"/>
      <c r="CV43" s="217"/>
      <c r="CW43" s="217"/>
      <c r="CX43" s="215"/>
    </row>
    <row r="44" spans="1:119" ht="15" hidden="1" customHeight="1" x14ac:dyDescent="0.25">
      <c r="A44" s="225"/>
      <c r="B44" s="227" t="s">
        <v>76</v>
      </c>
      <c r="C44" s="32">
        <f t="shared" ref="C44:AU44" si="83">+((-C29+C25)*1000000)/(C16)</f>
        <v>64205.441640378558</v>
      </c>
      <c r="D44" s="32">
        <f t="shared" si="83"/>
        <v>63058.137415709869</v>
      </c>
      <c r="E44" s="32">
        <f t="shared" si="83"/>
        <v>75473.170731707316</v>
      </c>
      <c r="F44" s="32">
        <f t="shared" si="83"/>
        <v>73151.443258204818</v>
      </c>
      <c r="G44" s="32">
        <f t="shared" si="83"/>
        <v>78917.809698671554</v>
      </c>
      <c r="H44" s="32">
        <f t="shared" si="83"/>
        <v>88718.9292543021</v>
      </c>
      <c r="I44" s="32">
        <f t="shared" si="83"/>
        <v>80551.846906987092</v>
      </c>
      <c r="J44" s="32">
        <f t="shared" si="83"/>
        <v>86161.294131538554</v>
      </c>
      <c r="K44" s="32">
        <f t="shared" si="83"/>
        <v>74000.888099467134</v>
      </c>
      <c r="L44" s="32">
        <f t="shared" si="83"/>
        <v>74925.240890464062</v>
      </c>
      <c r="M44" s="32">
        <f t="shared" si="83"/>
        <v>74007.711499206169</v>
      </c>
      <c r="N44" s="32">
        <f t="shared" si="83"/>
        <v>74511.118560733055</v>
      </c>
      <c r="O44" s="32">
        <f t="shared" si="83"/>
        <v>71289.297842041851</v>
      </c>
      <c r="P44" s="32">
        <f t="shared" si="83"/>
        <v>75566.587524282309</v>
      </c>
      <c r="Q44" s="32">
        <f t="shared" si="83"/>
        <v>77947.864669994451</v>
      </c>
      <c r="R44" s="32">
        <f t="shared" si="83"/>
        <v>81489.691864331631</v>
      </c>
      <c r="S44" s="32">
        <f t="shared" si="83"/>
        <v>83037.631370776362</v>
      </c>
      <c r="T44" s="32">
        <f t="shared" si="83"/>
        <v>89119.404667944531</v>
      </c>
      <c r="U44" s="32">
        <f t="shared" si="83"/>
        <v>99101.011362217512</v>
      </c>
      <c r="V44" s="32">
        <f t="shared" si="83"/>
        <v>108931.35725429017</v>
      </c>
      <c r="W44" s="32">
        <f t="shared" si="83"/>
        <v>111748.14435628358</v>
      </c>
      <c r="X44" s="32">
        <f t="shared" si="83"/>
        <v>121152.6595088239</v>
      </c>
      <c r="Y44" s="32">
        <f t="shared" si="83"/>
        <v>116423.80834774018</v>
      </c>
      <c r="Z44" s="32">
        <f t="shared" si="83"/>
        <v>135753.59012213125</v>
      </c>
      <c r="AA44" s="8">
        <f t="shared" si="83"/>
        <v>145513.01684532923</v>
      </c>
      <c r="AB44" s="8">
        <f t="shared" si="83"/>
        <v>153905.09873268494</v>
      </c>
      <c r="AC44" s="8">
        <f t="shared" si="83"/>
        <v>169306.16054760423</v>
      </c>
      <c r="AD44" s="8">
        <f t="shared" si="83"/>
        <v>186458.84875474186</v>
      </c>
      <c r="AE44" s="8">
        <f t="shared" si="83"/>
        <v>168728.52233676979</v>
      </c>
      <c r="AF44" s="8">
        <f t="shared" si="83"/>
        <v>183529.41176470587</v>
      </c>
      <c r="AG44" s="8">
        <f t="shared" si="83"/>
        <v>207415.57780417445</v>
      </c>
      <c r="AH44" s="8">
        <f t="shared" si="83"/>
        <v>208103.00429184549</v>
      </c>
      <c r="AI44" s="8">
        <f t="shared" si="83"/>
        <v>258907.10382513661</v>
      </c>
      <c r="AJ44" s="8">
        <f t="shared" si="83"/>
        <v>233909.73543143691</v>
      </c>
      <c r="AK44" s="8">
        <f t="shared" si="83"/>
        <v>229665.94648495928</v>
      </c>
      <c r="AL44" s="8">
        <f t="shared" si="83"/>
        <v>222648.08362369338</v>
      </c>
      <c r="AM44" s="8">
        <f t="shared" si="83"/>
        <v>259888.14317673378</v>
      </c>
      <c r="AN44" s="8">
        <f t="shared" si="83"/>
        <v>303367.32274128532</v>
      </c>
      <c r="AO44" s="8">
        <f t="shared" si="83"/>
        <v>315584.71454880293</v>
      </c>
      <c r="AP44" s="8">
        <f t="shared" si="83"/>
        <v>288038.88419273036</v>
      </c>
      <c r="AQ44" s="8">
        <f t="shared" si="83"/>
        <v>319237.26768042479</v>
      </c>
      <c r="AR44" s="8">
        <f t="shared" si="83"/>
        <v>315619.22365988907</v>
      </c>
      <c r="AS44" s="8">
        <f t="shared" si="83"/>
        <v>496558.63681924489</v>
      </c>
      <c r="AT44" s="8">
        <f t="shared" si="83"/>
        <v>543374.55830388691</v>
      </c>
      <c r="AU44" s="8">
        <f t="shared" si="83"/>
        <v>354850.17775520566</v>
      </c>
      <c r="AV44" s="8">
        <f>+((-AV29+AV25)*1000000)/(AV16)</f>
        <v>333466.84468179801</v>
      </c>
      <c r="AW44" s="8">
        <f>+((-AW29+AW25)*1000000)/(AW16)</f>
        <v>292298.98074745189</v>
      </c>
      <c r="AX44" s="8">
        <f>+((-AX29+AX25)*1000000)/(AX16)</f>
        <v>296769.07829534193</v>
      </c>
      <c r="AY44" s="19" t="s">
        <v>77</v>
      </c>
      <c r="AZ44" s="20" t="s">
        <v>77</v>
      </c>
      <c r="BA44" s="20" t="s">
        <v>77</v>
      </c>
      <c r="BB44" s="21" t="s">
        <v>77</v>
      </c>
      <c r="BC44" s="40" t="s">
        <v>77</v>
      </c>
      <c r="BD44" s="41" t="s">
        <v>77</v>
      </c>
      <c r="BE44" s="41" t="s">
        <v>77</v>
      </c>
      <c r="BF44" s="42" t="s">
        <v>77</v>
      </c>
      <c r="BG44" s="40" t="s">
        <v>77</v>
      </c>
      <c r="BH44" s="41" t="s">
        <v>77</v>
      </c>
      <c r="BI44" s="41" t="s">
        <v>77</v>
      </c>
      <c r="BJ44" s="41" t="s">
        <v>77</v>
      </c>
      <c r="BK44" s="216" t="s">
        <v>77</v>
      </c>
      <c r="BL44" s="217" t="s">
        <v>77</v>
      </c>
      <c r="BM44" s="217" t="s">
        <v>77</v>
      </c>
      <c r="BN44" s="217" t="s">
        <v>77</v>
      </c>
      <c r="BO44" s="216" t="s">
        <v>77</v>
      </c>
      <c r="BP44" s="217" t="s">
        <v>77</v>
      </c>
      <c r="BQ44" s="217" t="s">
        <v>77</v>
      </c>
      <c r="BR44" s="217" t="s">
        <v>77</v>
      </c>
      <c r="BS44" s="216" t="s">
        <v>77</v>
      </c>
      <c r="BT44" s="217" t="s">
        <v>77</v>
      </c>
      <c r="BU44" s="217" t="s">
        <v>77</v>
      </c>
      <c r="BV44" s="215" t="s">
        <v>77</v>
      </c>
      <c r="BW44" s="217" t="s">
        <v>77</v>
      </c>
      <c r="BX44" s="217" t="s">
        <v>77</v>
      </c>
      <c r="BY44" s="217" t="s">
        <v>77</v>
      </c>
      <c r="BZ44" s="217" t="s">
        <v>77</v>
      </c>
      <c r="CA44" s="216" t="s">
        <v>77</v>
      </c>
      <c r="CB44" s="217" t="s">
        <v>77</v>
      </c>
      <c r="CC44" s="217" t="s">
        <v>77</v>
      </c>
      <c r="CD44" s="215" t="s">
        <v>77</v>
      </c>
      <c r="CE44" s="216" t="s">
        <v>77</v>
      </c>
      <c r="CF44" s="217" t="s">
        <v>77</v>
      </c>
      <c r="CG44" s="217" t="s">
        <v>77</v>
      </c>
      <c r="CH44" s="215" t="s">
        <v>77</v>
      </c>
      <c r="CI44" s="216" t="s">
        <v>77</v>
      </c>
      <c r="CJ44" s="217" t="s">
        <v>77</v>
      </c>
      <c r="CK44" s="217" t="s">
        <v>77</v>
      </c>
      <c r="CL44" s="215" t="s">
        <v>77</v>
      </c>
      <c r="CM44" s="216"/>
      <c r="CN44" s="217"/>
      <c r="CO44" s="217"/>
      <c r="CP44" s="215"/>
      <c r="CQ44" s="216"/>
      <c r="CR44" s="217"/>
      <c r="CS44" s="217"/>
      <c r="CT44" s="215"/>
      <c r="CU44" s="216"/>
      <c r="CV44" s="217"/>
      <c r="CW44" s="217"/>
      <c r="CX44" s="215"/>
    </row>
    <row r="45" spans="1:119" ht="15" hidden="1" customHeight="1" x14ac:dyDescent="0.25">
      <c r="A45" s="225"/>
      <c r="B45" s="227" t="s">
        <v>78</v>
      </c>
      <c r="C45" s="32">
        <f>+C44/(32.15074)/(C50)</f>
        <v>173.2014633564018</v>
      </c>
      <c r="D45" s="32">
        <f t="shared" ref="D45:AX45" si="84">+D44/(32.15074)/(D50)</f>
        <v>186.61538676251712</v>
      </c>
      <c r="E45" s="32">
        <f t="shared" si="84"/>
        <v>226.15399754169368</v>
      </c>
      <c r="F45" s="32">
        <f t="shared" si="84"/>
        <v>232.88277206970054</v>
      </c>
      <c r="G45" s="32">
        <f t="shared" si="84"/>
        <v>292.91393371905178</v>
      </c>
      <c r="H45" s="32">
        <f t="shared" si="84"/>
        <v>356.52037746266956</v>
      </c>
      <c r="I45" s="32">
        <f t="shared" si="84"/>
        <v>336.753093192015</v>
      </c>
      <c r="J45" s="32">
        <f t="shared" si="84"/>
        <v>396.43733145035617</v>
      </c>
      <c r="K45" s="32">
        <f t="shared" si="84"/>
        <v>338.9816460135483</v>
      </c>
      <c r="L45" s="32">
        <f t="shared" si="84"/>
        <v>353.09635877208081</v>
      </c>
      <c r="M45" s="32">
        <f t="shared" si="84"/>
        <v>361.9335861526468</v>
      </c>
      <c r="N45" s="32">
        <f t="shared" si="84"/>
        <v>378.68550996551869</v>
      </c>
      <c r="O45" s="32">
        <f t="shared" si="84"/>
        <v>372.66310496433834</v>
      </c>
      <c r="P45" s="32">
        <f t="shared" si="84"/>
        <v>367.82223507308294</v>
      </c>
      <c r="Q45" s="32">
        <f t="shared" si="84"/>
        <v>371.84817418792107</v>
      </c>
      <c r="R45" s="32">
        <f t="shared" si="84"/>
        <v>388.14904413185974</v>
      </c>
      <c r="S45" s="32">
        <f t="shared" si="84"/>
        <v>420.64488087038893</v>
      </c>
      <c r="T45" s="32">
        <f t="shared" si="84"/>
        <v>433.790907956674</v>
      </c>
      <c r="U45" s="32">
        <f t="shared" si="84"/>
        <v>434.13896303027519</v>
      </c>
      <c r="V45" s="32">
        <f t="shared" si="84"/>
        <v>459.09818907500835</v>
      </c>
      <c r="W45" s="32">
        <f t="shared" si="84"/>
        <v>482.07441408470038</v>
      </c>
      <c r="X45" s="32">
        <f t="shared" si="84"/>
        <v>531.49079043378208</v>
      </c>
      <c r="Y45" s="32">
        <f t="shared" si="84"/>
        <v>510.02619179518757</v>
      </c>
      <c r="Z45" s="32">
        <f t="shared" si="84"/>
        <v>624.61679046582049</v>
      </c>
      <c r="AA45" s="8">
        <f t="shared" si="84"/>
        <v>607.51163331988164</v>
      </c>
      <c r="AB45" s="8">
        <f t="shared" si="84"/>
        <v>616.08554000631307</v>
      </c>
      <c r="AC45" s="8">
        <f t="shared" si="84"/>
        <v>680.3632186787263</v>
      </c>
      <c r="AD45" s="8">
        <f t="shared" si="84"/>
        <v>590.58245023230756</v>
      </c>
      <c r="AE45" s="8">
        <f t="shared" si="84"/>
        <v>528.50400324402437</v>
      </c>
      <c r="AF45" s="8">
        <f t="shared" si="84"/>
        <v>666.86962233750285</v>
      </c>
      <c r="AG45" s="8">
        <f t="shared" si="84"/>
        <v>824.98042586280758</v>
      </c>
      <c r="AH45" s="8">
        <f t="shared" si="84"/>
        <v>864.18268203291086</v>
      </c>
      <c r="AI45" s="8">
        <f t="shared" si="84"/>
        <v>1073.7216989930832</v>
      </c>
      <c r="AJ45" s="8">
        <f t="shared" si="84"/>
        <v>968.76265189131061</v>
      </c>
      <c r="AK45" s="8">
        <f t="shared" si="84"/>
        <v>970.57213283899762</v>
      </c>
      <c r="AL45" s="8">
        <f t="shared" si="84"/>
        <v>1000.7414621976725</v>
      </c>
      <c r="AM45" s="8">
        <f t="shared" si="84"/>
        <v>1158.0840234089669</v>
      </c>
      <c r="AN45" s="8">
        <f t="shared" si="84"/>
        <v>1391.7080254512173</v>
      </c>
      <c r="AO45" s="8">
        <f t="shared" si="84"/>
        <v>1392.3097663600449</v>
      </c>
      <c r="AP45" s="8">
        <f t="shared" si="84"/>
        <v>1108.7886859377431</v>
      </c>
      <c r="AQ45" s="8">
        <f t="shared" si="84"/>
        <v>1277.9138967360661</v>
      </c>
      <c r="AR45" s="8">
        <f t="shared" si="84"/>
        <v>1217.972358113358</v>
      </c>
      <c r="AS45" s="8">
        <f t="shared" si="84"/>
        <v>1869.8187888148402</v>
      </c>
      <c r="AT45" s="8">
        <f t="shared" si="84"/>
        <v>1949.3473380482401</v>
      </c>
      <c r="AU45" s="8">
        <f t="shared" si="84"/>
        <v>1241.5159197118967</v>
      </c>
      <c r="AV45" s="8">
        <f t="shared" si="84"/>
        <v>1102.2295840807064</v>
      </c>
      <c r="AW45" s="8">
        <f t="shared" si="84"/>
        <v>910.97358955951802</v>
      </c>
      <c r="AX45" s="8">
        <f t="shared" si="84"/>
        <v>913.01206998857526</v>
      </c>
      <c r="AY45" s="19" t="s">
        <v>77</v>
      </c>
      <c r="AZ45" s="20" t="s">
        <v>77</v>
      </c>
      <c r="BA45" s="20" t="s">
        <v>77</v>
      </c>
      <c r="BB45" s="21" t="s">
        <v>77</v>
      </c>
      <c r="BC45" s="40" t="s">
        <v>77</v>
      </c>
      <c r="BD45" s="41" t="s">
        <v>77</v>
      </c>
      <c r="BE45" s="41" t="s">
        <v>77</v>
      </c>
      <c r="BF45" s="42" t="s">
        <v>77</v>
      </c>
      <c r="BG45" s="40" t="s">
        <v>77</v>
      </c>
      <c r="BH45" s="41" t="s">
        <v>77</v>
      </c>
      <c r="BI45" s="41" t="s">
        <v>77</v>
      </c>
      <c r="BJ45" s="41" t="s">
        <v>77</v>
      </c>
      <c r="BK45" s="216" t="s">
        <v>77</v>
      </c>
      <c r="BL45" s="217" t="s">
        <v>77</v>
      </c>
      <c r="BM45" s="217" t="s">
        <v>77</v>
      </c>
      <c r="BN45" s="217" t="s">
        <v>77</v>
      </c>
      <c r="BO45" s="216" t="s">
        <v>77</v>
      </c>
      <c r="BP45" s="217" t="s">
        <v>77</v>
      </c>
      <c r="BQ45" s="217" t="s">
        <v>77</v>
      </c>
      <c r="BR45" s="217" t="s">
        <v>77</v>
      </c>
      <c r="BS45" s="216" t="s">
        <v>77</v>
      </c>
      <c r="BT45" s="217" t="s">
        <v>77</v>
      </c>
      <c r="BU45" s="217" t="s">
        <v>77</v>
      </c>
      <c r="BV45" s="215" t="s">
        <v>77</v>
      </c>
      <c r="BW45" s="217" t="s">
        <v>77</v>
      </c>
      <c r="BX45" s="217" t="s">
        <v>77</v>
      </c>
      <c r="BY45" s="217" t="s">
        <v>77</v>
      </c>
      <c r="BZ45" s="217" t="s">
        <v>77</v>
      </c>
      <c r="CA45" s="216" t="s">
        <v>77</v>
      </c>
      <c r="CB45" s="217" t="s">
        <v>77</v>
      </c>
      <c r="CC45" s="217" t="s">
        <v>77</v>
      </c>
      <c r="CD45" s="215" t="s">
        <v>77</v>
      </c>
      <c r="CE45" s="216" t="s">
        <v>77</v>
      </c>
      <c r="CF45" s="217" t="s">
        <v>77</v>
      </c>
      <c r="CG45" s="217" t="s">
        <v>77</v>
      </c>
      <c r="CH45" s="215" t="s">
        <v>77</v>
      </c>
      <c r="CI45" s="216" t="s">
        <v>77</v>
      </c>
      <c r="CJ45" s="217" t="s">
        <v>77</v>
      </c>
      <c r="CK45" s="217" t="s">
        <v>77</v>
      </c>
      <c r="CL45" s="215" t="s">
        <v>77</v>
      </c>
      <c r="CM45" s="216"/>
      <c r="CN45" s="217"/>
      <c r="CO45" s="217"/>
      <c r="CP45" s="215"/>
      <c r="CQ45" s="216"/>
      <c r="CR45" s="217"/>
      <c r="CS45" s="217"/>
      <c r="CT45" s="215"/>
      <c r="CU45" s="216"/>
      <c r="CV45" s="217"/>
      <c r="CW45" s="217"/>
      <c r="CX45" s="215"/>
    </row>
    <row r="46" spans="1:119" x14ac:dyDescent="0.25">
      <c r="A46" s="225"/>
      <c r="B46" s="227" t="s">
        <v>79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925">
        <v>303451</v>
      </c>
      <c r="AN46" s="925"/>
      <c r="AO46" s="925"/>
      <c r="AP46" s="925"/>
      <c r="AQ46" s="925">
        <v>332251</v>
      </c>
      <c r="AR46" s="925"/>
      <c r="AS46" s="925">
        <v>521914</v>
      </c>
      <c r="AT46" s="925"/>
      <c r="AU46" s="8">
        <v>370823</v>
      </c>
      <c r="AV46" s="8">
        <v>345683</v>
      </c>
      <c r="AW46" s="8">
        <v>311099</v>
      </c>
      <c r="AX46" s="8">
        <v>313915</v>
      </c>
      <c r="AY46" s="10">
        <v>357073</v>
      </c>
      <c r="AZ46" s="8">
        <v>362158</v>
      </c>
      <c r="BA46" s="8">
        <v>353499</v>
      </c>
      <c r="BB46" s="9">
        <v>357030</v>
      </c>
      <c r="BC46" s="34">
        <v>379847</v>
      </c>
      <c r="BD46" s="32">
        <v>376011</v>
      </c>
      <c r="BE46" s="32">
        <v>379331</v>
      </c>
      <c r="BF46" s="33">
        <v>360530</v>
      </c>
      <c r="BG46" s="34">
        <v>421845</v>
      </c>
      <c r="BH46" s="32">
        <v>422646</v>
      </c>
      <c r="BI46" s="32">
        <v>449154</v>
      </c>
      <c r="BJ46" s="32">
        <v>393333</v>
      </c>
      <c r="BK46" s="213">
        <v>497831</v>
      </c>
      <c r="BL46" s="214">
        <v>453397</v>
      </c>
      <c r="BM46" s="214">
        <v>522703</v>
      </c>
      <c r="BN46" s="259">
        <v>481318</v>
      </c>
      <c r="BO46" s="213">
        <v>565093</v>
      </c>
      <c r="BP46" s="214">
        <v>646083</v>
      </c>
      <c r="BQ46" s="214">
        <v>785871</v>
      </c>
      <c r="BR46" s="214">
        <v>989014</v>
      </c>
      <c r="BS46" s="213">
        <v>9242857</v>
      </c>
      <c r="BT46" s="214">
        <v>2743914</v>
      </c>
      <c r="BU46" s="214">
        <v>777532</v>
      </c>
      <c r="BV46" s="259">
        <v>639121</v>
      </c>
      <c r="BW46" s="214">
        <v>790772</v>
      </c>
      <c r="BX46" s="214">
        <v>1239565</v>
      </c>
      <c r="BY46" s="214">
        <v>741525</v>
      </c>
      <c r="BZ46" s="214">
        <v>665778</v>
      </c>
      <c r="CA46" s="213">
        <v>731851</v>
      </c>
      <c r="CB46" s="214">
        <v>822181</v>
      </c>
      <c r="CC46" s="214">
        <v>790669</v>
      </c>
      <c r="CD46" s="259">
        <v>822426</v>
      </c>
      <c r="CE46" s="213">
        <v>1080928</v>
      </c>
      <c r="CF46" s="214">
        <v>110222222</v>
      </c>
      <c r="CG46" s="214">
        <v>1215013</v>
      </c>
      <c r="CH46" s="259">
        <v>1220812</v>
      </c>
      <c r="CI46" s="213">
        <v>1065837</v>
      </c>
      <c r="CJ46" s="214">
        <v>1071597</v>
      </c>
      <c r="CK46" s="214">
        <v>1455137</v>
      </c>
      <c r="CL46" s="259">
        <v>1228886</v>
      </c>
      <c r="CM46" s="213">
        <v>1292115</v>
      </c>
      <c r="CN46" s="214">
        <v>1172545</v>
      </c>
      <c r="CO46" s="214">
        <v>1298327</v>
      </c>
      <c r="CP46" s="259">
        <v>1314782</v>
      </c>
      <c r="CQ46" s="213">
        <v>1482301</v>
      </c>
      <c r="CR46" s="214">
        <v>1343301</v>
      </c>
      <c r="CS46" s="214">
        <v>1267936</v>
      </c>
      <c r="CT46" s="259">
        <v>1386792</v>
      </c>
      <c r="CU46" s="213">
        <v>1685232</v>
      </c>
      <c r="CV46" s="214">
        <v>1636888</v>
      </c>
      <c r="CW46" s="214"/>
      <c r="CX46" s="259"/>
    </row>
    <row r="47" spans="1:119" x14ac:dyDescent="0.25">
      <c r="A47" s="225"/>
      <c r="B47" s="227" t="s">
        <v>80</v>
      </c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925">
        <v>1307</v>
      </c>
      <c r="AN47" s="925"/>
      <c r="AO47" s="925"/>
      <c r="AP47" s="925"/>
      <c r="AQ47" s="925">
        <v>1305</v>
      </c>
      <c r="AR47" s="925"/>
      <c r="AS47" s="925">
        <v>1917</v>
      </c>
      <c r="AT47" s="925"/>
      <c r="AU47" s="8">
        <f t="shared" ref="AU47:BH47" si="85">+AU46/(32.15074)/(AU50)</f>
        <v>1297.4001050463639</v>
      </c>
      <c r="AV47" s="8">
        <f t="shared" si="85"/>
        <v>1142.6084343627958</v>
      </c>
      <c r="AW47" s="8">
        <f t="shared" si="85"/>
        <v>969.5653813560109</v>
      </c>
      <c r="AX47" s="8">
        <f t="shared" si="85"/>
        <v>965.76161369896386</v>
      </c>
      <c r="AY47" s="10">
        <f t="shared" si="85"/>
        <v>1026.4523142777762</v>
      </c>
      <c r="AZ47" s="8">
        <f t="shared" si="85"/>
        <v>1069.7412395372278</v>
      </c>
      <c r="BA47" s="8">
        <f t="shared" si="85"/>
        <v>1025.6576671353328</v>
      </c>
      <c r="BB47" s="9">
        <f t="shared" si="85"/>
        <v>991.50683845624008</v>
      </c>
      <c r="BC47" s="34">
        <f t="shared" si="85"/>
        <v>1009.7918603290487</v>
      </c>
      <c r="BD47" s="32">
        <f t="shared" si="85"/>
        <v>968.95209647626962</v>
      </c>
      <c r="BE47" s="32">
        <f t="shared" si="85"/>
        <v>907.57810527246636</v>
      </c>
      <c r="BF47" s="33">
        <f t="shared" si="85"/>
        <v>789.14417887059903</v>
      </c>
      <c r="BG47" s="34">
        <f t="shared" si="85"/>
        <v>830.95939527419068</v>
      </c>
      <c r="BH47" s="32">
        <f t="shared" si="85"/>
        <v>878.14046368646336</v>
      </c>
      <c r="BI47" s="32">
        <f t="shared" ref="BI47:BN47" si="86">+BI46/(32.15074)/(BI50)</f>
        <v>993.61691841039863</v>
      </c>
      <c r="BJ47" s="32">
        <f t="shared" si="86"/>
        <v>881.41400141741178</v>
      </c>
      <c r="BK47" s="213">
        <f t="shared" si="86"/>
        <v>1172.1633703535058</v>
      </c>
      <c r="BL47" s="214">
        <f t="shared" si="86"/>
        <v>1068.3504508996552</v>
      </c>
      <c r="BM47" s="214">
        <f t="shared" si="86"/>
        <v>1233.5268554926124</v>
      </c>
      <c r="BN47" s="259">
        <f t="shared" si="86"/>
        <v>1098.3614310371854</v>
      </c>
      <c r="BO47" s="213">
        <f>+BO46/(32.15074)/(BO50)-1</f>
        <v>1468.5953684213093</v>
      </c>
      <c r="BP47" s="214">
        <f>+BP46/(32.15074)/(BP50)-1</f>
        <v>1587.5716764438846</v>
      </c>
      <c r="BQ47" s="214">
        <f>+BQ46/(32.15074)/(BQ50)-1</f>
        <v>1738.7384633622341</v>
      </c>
      <c r="BR47" s="214">
        <f t="shared" ref="BR47:BW47" si="87">+BR46/(32.15074)/(BR50)</f>
        <v>2149.6701809033834</v>
      </c>
      <c r="BS47" s="213">
        <f t="shared" si="87"/>
        <v>20519.989079262916</v>
      </c>
      <c r="BT47" s="214">
        <f t="shared" si="87"/>
        <v>5930.8744181270495</v>
      </c>
      <c r="BU47" s="214">
        <f t="shared" si="87"/>
        <v>1648.531251820903</v>
      </c>
      <c r="BV47" s="259">
        <f t="shared" si="87"/>
        <v>1350.4680201964925</v>
      </c>
      <c r="BW47" s="214">
        <f t="shared" si="87"/>
        <v>1599.2043940949545</v>
      </c>
      <c r="BX47" s="214">
        <f t="shared" ref="BX47:BY47" si="88">+BX46/(32.15074)/(BX50)</f>
        <v>2147.8991140173694</v>
      </c>
      <c r="BY47" s="214">
        <f t="shared" si="88"/>
        <v>1363.9272824519596</v>
      </c>
      <c r="BZ47" s="214">
        <f t="shared" ref="BZ47:CB47" si="89">+BZ46/(32.15074)/(BZ50)</f>
        <v>1326.58647070764</v>
      </c>
      <c r="CA47" s="213">
        <f t="shared" si="89"/>
        <v>1521.598612982915</v>
      </c>
      <c r="CB47" s="214">
        <f t="shared" si="89"/>
        <v>1809.815490699594</v>
      </c>
      <c r="CC47" s="214">
        <f t="shared" ref="CC47:CF47" si="90">+CC46/(32.15074)/(CC50)</f>
        <v>1680.9678689279201</v>
      </c>
      <c r="CD47" s="259">
        <f t="shared" si="90"/>
        <v>1658.9048791801656</v>
      </c>
      <c r="CE47" s="213">
        <f t="shared" si="90"/>
        <v>2208.9767305785313</v>
      </c>
      <c r="CF47" s="214">
        <f t="shared" si="90"/>
        <v>219903.46537823588</v>
      </c>
      <c r="CG47" s="214">
        <f t="shared" ref="CG47:CJ47" si="91">+CG46/(32.15074)/(CG50)</f>
        <v>2216.488937137739</v>
      </c>
      <c r="CH47" s="259">
        <f t="shared" si="91"/>
        <v>2156.246761897351</v>
      </c>
      <c r="CI47" s="213">
        <f t="shared" si="91"/>
        <v>1866.6240526530521</v>
      </c>
      <c r="CJ47" s="214">
        <f t="shared" si="91"/>
        <v>1786.1950288364994</v>
      </c>
      <c r="CK47" s="214">
        <f t="shared" ref="CK47:CP47" si="92">+CK46/(32.15074)/(CK50)</f>
        <v>2434.6330912979624</v>
      </c>
      <c r="CL47" s="259">
        <f t="shared" si="92"/>
        <v>2049.4710455765744</v>
      </c>
      <c r="CM47" s="213">
        <f t="shared" si="92"/>
        <v>2130.92667743316</v>
      </c>
      <c r="CN47" s="214">
        <f t="shared" si="92"/>
        <v>1963.9328839841762</v>
      </c>
      <c r="CO47" s="214">
        <f t="shared" si="92"/>
        <v>2248.4683727030165</v>
      </c>
      <c r="CP47" s="259">
        <f t="shared" si="92"/>
        <v>2287.1532320501224</v>
      </c>
      <c r="CQ47" s="213">
        <f t="shared" ref="CQ47:CT47" si="93">+CQ46/(32.15074)/(CQ50)</f>
        <v>2494.8443822317331</v>
      </c>
      <c r="CR47" s="214">
        <f t="shared" si="93"/>
        <v>2284.3816306803747</v>
      </c>
      <c r="CS47" s="214">
        <f t="shared" si="93"/>
        <v>2235.6704091379115</v>
      </c>
      <c r="CT47" s="259">
        <f t="shared" si="93"/>
        <v>2520.9854828184439</v>
      </c>
      <c r="CU47" s="213">
        <f t="shared" ref="CU47:CX47" si="94">+CU46/(32.15074)/(CU50)</f>
        <v>3207.8693466157688</v>
      </c>
      <c r="CV47" s="214">
        <f t="shared" si="94"/>
        <v>3089.3761125044025</v>
      </c>
      <c r="CW47" s="214" t="e">
        <f t="shared" si="94"/>
        <v>#DIV/0!</v>
      </c>
      <c r="CX47" s="259" t="e">
        <f t="shared" si="94"/>
        <v>#DIV/0!</v>
      </c>
    </row>
    <row r="48" spans="1:119" x14ac:dyDescent="0.25">
      <c r="A48" s="225"/>
      <c r="B48" s="227" t="s">
        <v>81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925">
        <f>+AM46</f>
        <v>303451</v>
      </c>
      <c r="AN48" s="925"/>
      <c r="AO48" s="925"/>
      <c r="AP48" s="925"/>
      <c r="AQ48" s="925">
        <f>+AQ46</f>
        <v>332251</v>
      </c>
      <c r="AR48" s="925"/>
      <c r="AS48" s="925">
        <f>+AS46</f>
        <v>521914</v>
      </c>
      <c r="AT48" s="925"/>
      <c r="AU48" s="8">
        <f>+AU46</f>
        <v>370823</v>
      </c>
      <c r="AV48" s="8">
        <f>+AV46</f>
        <v>345683</v>
      </c>
      <c r="AW48" s="8">
        <f>+AW46</f>
        <v>311099</v>
      </c>
      <c r="AX48" s="8">
        <f>+AX46</f>
        <v>313915</v>
      </c>
      <c r="AY48" s="10">
        <f>+AY46</f>
        <v>357073</v>
      </c>
      <c r="AZ48" s="8">
        <v>362158</v>
      </c>
      <c r="BA48" s="8">
        <v>353499</v>
      </c>
      <c r="BB48" s="9">
        <v>357030</v>
      </c>
      <c r="BC48" s="34">
        <v>379847</v>
      </c>
      <c r="BD48" s="32">
        <v>376959</v>
      </c>
      <c r="BE48" s="32">
        <v>379744</v>
      </c>
      <c r="BF48" s="33">
        <v>363201</v>
      </c>
      <c r="BG48" s="34">
        <v>424151</v>
      </c>
      <c r="BH48" s="32">
        <v>424664</v>
      </c>
      <c r="BI48" s="32">
        <v>453708</v>
      </c>
      <c r="BJ48" s="32">
        <v>397882</v>
      </c>
      <c r="BK48" s="213">
        <v>503226</v>
      </c>
      <c r="BL48" s="214">
        <v>456109</v>
      </c>
      <c r="BM48" s="214">
        <v>526068</v>
      </c>
      <c r="BN48" s="259">
        <v>481647</v>
      </c>
      <c r="BO48" s="213">
        <v>565093</v>
      </c>
      <c r="BP48" s="214">
        <v>646193</v>
      </c>
      <c r="BQ48" s="214">
        <v>785915</v>
      </c>
      <c r="BR48" s="214">
        <v>989014</v>
      </c>
      <c r="BS48" s="213">
        <v>9242857</v>
      </c>
      <c r="BT48" s="214">
        <v>2743914</v>
      </c>
      <c r="BU48" s="214">
        <v>777532</v>
      </c>
      <c r="BV48" s="259">
        <v>639121</v>
      </c>
      <c r="BW48" s="214">
        <v>790772</v>
      </c>
      <c r="BX48" s="214">
        <v>1239565</v>
      </c>
      <c r="BY48" s="214">
        <v>741525</v>
      </c>
      <c r="BZ48" s="214">
        <v>665778</v>
      </c>
      <c r="CA48" s="213">
        <v>731851</v>
      </c>
      <c r="CB48" s="214">
        <v>822181</v>
      </c>
      <c r="CC48" s="214">
        <v>790669</v>
      </c>
      <c r="CD48" s="259">
        <v>822426</v>
      </c>
      <c r="CE48" s="213">
        <v>1080928</v>
      </c>
      <c r="CF48" s="214">
        <v>110222222</v>
      </c>
      <c r="CG48" s="214">
        <v>1215013</v>
      </c>
      <c r="CH48" s="259">
        <v>1220812</v>
      </c>
      <c r="CI48" s="213">
        <v>1065837</v>
      </c>
      <c r="CJ48" s="214">
        <v>1071597</v>
      </c>
      <c r="CK48" s="214">
        <v>1455137</v>
      </c>
      <c r="CL48" s="259">
        <v>1228886</v>
      </c>
      <c r="CM48" s="213">
        <v>1292115</v>
      </c>
      <c r="CN48" s="214">
        <v>1172545</v>
      </c>
      <c r="CO48" s="214">
        <v>1298327</v>
      </c>
      <c r="CP48" s="259">
        <v>1314782</v>
      </c>
      <c r="CQ48" s="213">
        <v>1482301</v>
      </c>
      <c r="CR48" s="214">
        <v>1343301</v>
      </c>
      <c r="CS48" s="214">
        <v>1267936</v>
      </c>
      <c r="CT48" s="259">
        <v>1386792</v>
      </c>
      <c r="CU48" s="213">
        <v>1685232</v>
      </c>
      <c r="CV48" s="214">
        <v>1636888</v>
      </c>
      <c r="CW48" s="214"/>
      <c r="CX48" s="259"/>
    </row>
    <row r="49" spans="1:119" x14ac:dyDescent="0.25">
      <c r="A49" s="225"/>
      <c r="B49" s="227" t="s">
        <v>82</v>
      </c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925">
        <f>+AM47</f>
        <v>1307</v>
      </c>
      <c r="AN49" s="925"/>
      <c r="AO49" s="925"/>
      <c r="AP49" s="925"/>
      <c r="AQ49" s="925">
        <f>+AQ47</f>
        <v>1305</v>
      </c>
      <c r="AR49" s="925"/>
      <c r="AS49" s="925">
        <f>+AS47</f>
        <v>1917</v>
      </c>
      <c r="AT49" s="925"/>
      <c r="AU49" s="8">
        <f t="shared" ref="AU49:BH49" si="95">+AU48/(32.15074)/(AU50)</f>
        <v>1297.4001050463639</v>
      </c>
      <c r="AV49" s="8">
        <f t="shared" si="95"/>
        <v>1142.6084343627958</v>
      </c>
      <c r="AW49" s="8">
        <f t="shared" si="95"/>
        <v>969.5653813560109</v>
      </c>
      <c r="AX49" s="8">
        <f t="shared" si="95"/>
        <v>965.76161369896386</v>
      </c>
      <c r="AY49" s="10">
        <f t="shared" si="95"/>
        <v>1026.4523142777762</v>
      </c>
      <c r="AZ49" s="8">
        <f t="shared" si="95"/>
        <v>1069.7412395372278</v>
      </c>
      <c r="BA49" s="8">
        <f t="shared" si="95"/>
        <v>1025.6576671353328</v>
      </c>
      <c r="BB49" s="9">
        <f t="shared" si="95"/>
        <v>991.50683845624008</v>
      </c>
      <c r="BC49" s="34">
        <f t="shared" si="95"/>
        <v>1009.7918603290487</v>
      </c>
      <c r="BD49" s="32">
        <f t="shared" si="95"/>
        <v>971.39502125096919</v>
      </c>
      <c r="BE49" s="32">
        <f t="shared" si="95"/>
        <v>908.56623900653369</v>
      </c>
      <c r="BF49" s="33">
        <f t="shared" si="95"/>
        <v>794.99058305822109</v>
      </c>
      <c r="BG49" s="34">
        <f t="shared" si="95"/>
        <v>835.50180389703155</v>
      </c>
      <c r="BH49" s="32">
        <f t="shared" si="95"/>
        <v>882.33330463543552</v>
      </c>
      <c r="BI49" s="32">
        <f>+BI48/(32.15074)/(BI50)</f>
        <v>1003.6912613895126</v>
      </c>
      <c r="BJ49" s="32">
        <f>+BJ48/(32.15074)/(BJ50)-1</f>
        <v>890.60778707091094</v>
      </c>
      <c r="BK49" s="213">
        <f>+BK48/(32.15074)/(BK50)</f>
        <v>1184.8661176373373</v>
      </c>
      <c r="BL49" s="214">
        <f>+BL48/(32.15074)/(BL50)</f>
        <v>1074.7408028932498</v>
      </c>
      <c r="BM49" s="214">
        <f>+BM48/(32.15074)/(BM50)+1</f>
        <v>1242.467919287411</v>
      </c>
      <c r="BN49" s="259">
        <f>+BN48/(32.15074)/(BN50)</f>
        <v>1099.1122047685049</v>
      </c>
      <c r="BO49" s="213">
        <f>+BO48/(32.15074)/(BO50)-1</f>
        <v>1468.5953684213093</v>
      </c>
      <c r="BP49" s="214">
        <f>+BP48/(32.15074)/(BP50)-1</f>
        <v>1587.842141514795</v>
      </c>
      <c r="BQ49" s="214">
        <f>+BQ48/(32.15074)/(BQ50)-1</f>
        <v>1738.8358692881279</v>
      </c>
      <c r="BR49" s="214">
        <f t="shared" ref="BR49:BW49" si="96">+BR48/(32.15074)/(BR50)</f>
        <v>2149.6701809033834</v>
      </c>
      <c r="BS49" s="213">
        <f t="shared" si="96"/>
        <v>20519.989079262916</v>
      </c>
      <c r="BT49" s="214">
        <f t="shared" si="96"/>
        <v>5930.8744181270495</v>
      </c>
      <c r="BU49" s="214">
        <f t="shared" si="96"/>
        <v>1648.531251820903</v>
      </c>
      <c r="BV49" s="259">
        <f t="shared" si="96"/>
        <v>1350.4680201964925</v>
      </c>
      <c r="BW49" s="214">
        <f t="shared" si="96"/>
        <v>1599.2043940949545</v>
      </c>
      <c r="BX49" s="214">
        <f t="shared" ref="BX49:BY49" si="97">+BX48/(32.15074)/(BX50)</f>
        <v>2147.8991140173694</v>
      </c>
      <c r="BY49" s="214">
        <f t="shared" si="97"/>
        <v>1363.9272824519596</v>
      </c>
      <c r="BZ49" s="214">
        <f t="shared" ref="BZ49:CB49" si="98">+BZ48/(32.15074)/(BZ50)</f>
        <v>1326.58647070764</v>
      </c>
      <c r="CA49" s="213">
        <f t="shared" si="98"/>
        <v>1521.598612982915</v>
      </c>
      <c r="CB49" s="214">
        <f t="shared" si="98"/>
        <v>1809.815490699594</v>
      </c>
      <c r="CC49" s="214">
        <f t="shared" ref="CC49:CF49" si="99">+CC48/(32.15074)/(CC50)</f>
        <v>1680.9678689279201</v>
      </c>
      <c r="CD49" s="259">
        <f t="shared" si="99"/>
        <v>1658.9048791801656</v>
      </c>
      <c r="CE49" s="213">
        <f t="shared" si="99"/>
        <v>2208.9767305785313</v>
      </c>
      <c r="CF49" s="214">
        <f t="shared" si="99"/>
        <v>219903.46537823588</v>
      </c>
      <c r="CG49" s="214">
        <f t="shared" ref="CG49:CJ49" si="100">+CG48/(32.15074)/(CG50)</f>
        <v>2216.488937137739</v>
      </c>
      <c r="CH49" s="259">
        <f t="shared" si="100"/>
        <v>2156.246761897351</v>
      </c>
      <c r="CI49" s="213">
        <f t="shared" si="100"/>
        <v>1866.6240526530521</v>
      </c>
      <c r="CJ49" s="214">
        <f t="shared" si="100"/>
        <v>1786.1950288364994</v>
      </c>
      <c r="CK49" s="214">
        <f t="shared" ref="CK49:CP49" si="101">+CK48/(32.15074)/(CK50)</f>
        <v>2434.6330912979624</v>
      </c>
      <c r="CL49" s="259">
        <f t="shared" si="101"/>
        <v>2049.4710455765744</v>
      </c>
      <c r="CM49" s="213">
        <f t="shared" si="101"/>
        <v>2130.92667743316</v>
      </c>
      <c r="CN49" s="214">
        <f t="shared" si="101"/>
        <v>1963.9328839841762</v>
      </c>
      <c r="CO49" s="214">
        <f t="shared" si="101"/>
        <v>2248.4683727030165</v>
      </c>
      <c r="CP49" s="259">
        <f t="shared" si="101"/>
        <v>2287.1532320501224</v>
      </c>
      <c r="CQ49" s="213">
        <f t="shared" ref="CQ49:CT49" si="102">+CQ48/(32.15074)/(CQ50)</f>
        <v>2494.8443822317331</v>
      </c>
      <c r="CR49" s="214">
        <f t="shared" si="102"/>
        <v>2284.3816306803747</v>
      </c>
      <c r="CS49" s="214">
        <f t="shared" si="102"/>
        <v>2235.6704091379115</v>
      </c>
      <c r="CT49" s="259">
        <f t="shared" si="102"/>
        <v>2520.9854828184439</v>
      </c>
      <c r="CU49" s="213">
        <f t="shared" ref="CU49:CX49" si="103">+CU48/(32.15074)/(CU50)</f>
        <v>3207.8693466157688</v>
      </c>
      <c r="CV49" s="214">
        <f t="shared" si="103"/>
        <v>3089.3761125044025</v>
      </c>
      <c r="CW49" s="214" t="e">
        <f t="shared" si="103"/>
        <v>#DIV/0!</v>
      </c>
      <c r="CX49" s="259" t="e">
        <f t="shared" si="103"/>
        <v>#DIV/0!</v>
      </c>
    </row>
    <row r="50" spans="1:119" x14ac:dyDescent="0.25">
      <c r="A50" s="225"/>
      <c r="B50" s="300" t="s">
        <v>83</v>
      </c>
      <c r="C50" s="36">
        <v>11.53</v>
      </c>
      <c r="D50" s="36">
        <v>10.51</v>
      </c>
      <c r="E50" s="36">
        <v>10.38</v>
      </c>
      <c r="F50" s="36">
        <v>9.77</v>
      </c>
      <c r="G50" s="36">
        <v>8.3800000000000008</v>
      </c>
      <c r="H50" s="36">
        <v>7.74</v>
      </c>
      <c r="I50" s="36">
        <v>7.44</v>
      </c>
      <c r="J50" s="36">
        <v>6.76</v>
      </c>
      <c r="K50" s="36">
        <v>6.79</v>
      </c>
      <c r="L50" s="36">
        <v>6.6</v>
      </c>
      <c r="M50" s="36">
        <v>6.36</v>
      </c>
      <c r="N50" s="36">
        <v>6.12</v>
      </c>
      <c r="O50" s="36">
        <v>5.95</v>
      </c>
      <c r="P50" s="36">
        <v>6.39</v>
      </c>
      <c r="Q50" s="36">
        <v>6.52</v>
      </c>
      <c r="R50" s="36">
        <v>6.53</v>
      </c>
      <c r="S50" s="36">
        <v>6.14</v>
      </c>
      <c r="T50" s="36">
        <v>6.39</v>
      </c>
      <c r="U50" s="36">
        <v>7.1</v>
      </c>
      <c r="V50" s="36">
        <v>7.38</v>
      </c>
      <c r="W50" s="36">
        <v>7.21</v>
      </c>
      <c r="X50" s="36">
        <v>7.09</v>
      </c>
      <c r="Y50" s="36">
        <v>7.1</v>
      </c>
      <c r="Z50" s="36">
        <v>6.76</v>
      </c>
      <c r="AA50" s="12">
        <v>7.45</v>
      </c>
      <c r="AB50" s="12">
        <v>7.77</v>
      </c>
      <c r="AC50" s="12">
        <v>7.74</v>
      </c>
      <c r="AD50" s="12">
        <v>9.82</v>
      </c>
      <c r="AE50" s="12">
        <v>9.93</v>
      </c>
      <c r="AF50" s="12">
        <v>8.56</v>
      </c>
      <c r="AG50" s="12">
        <v>7.82</v>
      </c>
      <c r="AH50" s="12">
        <v>7.49</v>
      </c>
      <c r="AI50" s="12">
        <v>7.5</v>
      </c>
      <c r="AJ50" s="12">
        <v>7.51</v>
      </c>
      <c r="AK50" s="12">
        <v>7.36</v>
      </c>
      <c r="AL50" s="12">
        <v>6.92</v>
      </c>
      <c r="AM50" s="12">
        <v>6.98</v>
      </c>
      <c r="AN50" s="12">
        <v>6.78</v>
      </c>
      <c r="AO50" s="12">
        <v>7.05</v>
      </c>
      <c r="AP50" s="12">
        <v>8.08</v>
      </c>
      <c r="AQ50" s="12">
        <v>7.77</v>
      </c>
      <c r="AR50" s="12">
        <v>8.06</v>
      </c>
      <c r="AS50" s="12">
        <v>8.26</v>
      </c>
      <c r="AT50" s="12">
        <v>8.67</v>
      </c>
      <c r="AU50" s="12">
        <v>8.89</v>
      </c>
      <c r="AV50" s="12">
        <v>9.41</v>
      </c>
      <c r="AW50" s="12">
        <v>9.98</v>
      </c>
      <c r="AX50" s="12">
        <v>10.11</v>
      </c>
      <c r="AY50" s="11">
        <v>10.82</v>
      </c>
      <c r="AZ50" s="12">
        <v>10.53</v>
      </c>
      <c r="BA50" s="12">
        <v>10.72</v>
      </c>
      <c r="BB50" s="13">
        <v>11.2</v>
      </c>
      <c r="BC50" s="35">
        <v>11.7</v>
      </c>
      <c r="BD50" s="36">
        <v>12.07</v>
      </c>
      <c r="BE50" s="36">
        <v>13</v>
      </c>
      <c r="BF50" s="37">
        <v>14.21</v>
      </c>
      <c r="BG50" s="35">
        <v>15.79</v>
      </c>
      <c r="BH50" s="36">
        <v>14.97</v>
      </c>
      <c r="BI50" s="36">
        <v>14.06</v>
      </c>
      <c r="BJ50" s="36">
        <v>13.88</v>
      </c>
      <c r="BK50" s="301">
        <v>13.21</v>
      </c>
      <c r="BL50" s="297">
        <v>13.2</v>
      </c>
      <c r="BM50" s="297">
        <v>13.18</v>
      </c>
      <c r="BN50" s="302">
        <v>13.63</v>
      </c>
      <c r="BO50" s="301">
        <v>11.96</v>
      </c>
      <c r="BP50" s="297">
        <v>12.65</v>
      </c>
      <c r="BQ50" s="297">
        <v>14.05</v>
      </c>
      <c r="BR50" s="297">
        <v>14.31</v>
      </c>
      <c r="BS50" s="301">
        <v>14.01</v>
      </c>
      <c r="BT50" s="297">
        <v>14.39</v>
      </c>
      <c r="BU50" s="297">
        <v>14.67</v>
      </c>
      <c r="BV50" s="302">
        <v>14.72</v>
      </c>
      <c r="BW50" s="297">
        <v>15.38</v>
      </c>
      <c r="BX50" s="297">
        <v>17.95</v>
      </c>
      <c r="BY50" s="297">
        <v>16.91</v>
      </c>
      <c r="BZ50" s="297">
        <v>15.61</v>
      </c>
      <c r="CA50" s="301">
        <v>14.96</v>
      </c>
      <c r="CB50" s="297">
        <v>14.13</v>
      </c>
      <c r="CC50" s="297">
        <v>14.63</v>
      </c>
      <c r="CD50" s="302">
        <v>15.42</v>
      </c>
      <c r="CE50" s="301">
        <v>15.22</v>
      </c>
      <c r="CF50" s="297">
        <v>15.59</v>
      </c>
      <c r="CG50" s="297">
        <v>17.05</v>
      </c>
      <c r="CH50" s="302">
        <v>17.61</v>
      </c>
      <c r="CI50" s="301">
        <v>17.760000000000002</v>
      </c>
      <c r="CJ50" s="297">
        <v>18.66</v>
      </c>
      <c r="CK50" s="297">
        <v>18.59</v>
      </c>
      <c r="CL50" s="326">
        <v>18.649999999999999</v>
      </c>
      <c r="CM50" s="301">
        <v>18.86</v>
      </c>
      <c r="CN50" s="297">
        <v>18.57</v>
      </c>
      <c r="CO50" s="297">
        <v>17.96</v>
      </c>
      <c r="CP50" s="326">
        <v>17.88</v>
      </c>
      <c r="CQ50" s="301">
        <v>18.48</v>
      </c>
      <c r="CR50" s="297">
        <v>18.29</v>
      </c>
      <c r="CS50" s="297">
        <v>17.64</v>
      </c>
      <c r="CT50" s="326">
        <v>17.11</v>
      </c>
      <c r="CU50" s="301">
        <v>16.34</v>
      </c>
      <c r="CV50" s="297">
        <v>16.48</v>
      </c>
      <c r="CW50" s="297"/>
      <c r="CX50" s="326"/>
    </row>
    <row r="51" spans="1:119" x14ac:dyDescent="0.25">
      <c r="A51" s="307"/>
      <c r="B51" s="305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174"/>
      <c r="AZ51" s="7"/>
      <c r="BA51" s="7"/>
      <c r="BB51" s="175"/>
      <c r="BC51" s="176"/>
      <c r="BD51" s="173"/>
      <c r="BE51" s="177"/>
      <c r="BF51" s="178"/>
      <c r="BG51" s="176"/>
      <c r="BH51" s="177"/>
      <c r="BI51" s="7"/>
      <c r="BJ51" s="28"/>
      <c r="BK51" s="307"/>
      <c r="BL51" s="313"/>
      <c r="BM51" s="313"/>
      <c r="BN51" s="305"/>
      <c r="BO51" s="307"/>
      <c r="BP51" s="313"/>
      <c r="BQ51" s="313"/>
      <c r="BR51" s="313"/>
      <c r="BS51" s="307"/>
      <c r="BT51" s="313"/>
      <c r="BU51" s="313"/>
      <c r="BV51" s="305"/>
      <c r="BW51" s="313"/>
      <c r="BX51" s="313"/>
      <c r="BY51" s="313"/>
      <c r="BZ51" s="313"/>
      <c r="CA51" s="307"/>
      <c r="CB51" s="313"/>
      <c r="CC51" s="313"/>
      <c r="CD51" s="305"/>
      <c r="CE51" s="307"/>
      <c r="CF51" s="313"/>
      <c r="CG51" s="313"/>
      <c r="CH51" s="305"/>
      <c r="CI51" s="307"/>
      <c r="CJ51" s="313"/>
      <c r="CK51" s="313"/>
      <c r="CL51" s="305"/>
      <c r="CM51" s="307"/>
      <c r="CN51" s="313"/>
      <c r="CO51" s="313"/>
      <c r="CP51" s="305"/>
      <c r="CQ51" s="307"/>
      <c r="CR51" s="313"/>
      <c r="CS51" s="313"/>
      <c r="CT51" s="305"/>
      <c r="CU51" s="307"/>
      <c r="CV51" s="313"/>
      <c r="CW51" s="313"/>
      <c r="CX51" s="305"/>
    </row>
    <row r="52" spans="1:119" ht="21" x14ac:dyDescent="0.35">
      <c r="A52" s="166"/>
      <c r="B52" s="165" t="s">
        <v>84</v>
      </c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4"/>
      <c r="AZ52" s="103"/>
      <c r="BA52" s="103"/>
      <c r="BB52" s="105"/>
      <c r="BC52" s="104"/>
      <c r="BD52" s="103"/>
      <c r="BE52" s="103"/>
      <c r="BF52" s="105"/>
      <c r="BG52" s="104"/>
      <c r="BH52" s="103"/>
      <c r="BI52" s="103"/>
      <c r="BJ52" s="106"/>
      <c r="BK52" s="107"/>
      <c r="BL52" s="106"/>
      <c r="BM52" s="106"/>
      <c r="BN52" s="108"/>
      <c r="BO52" s="107"/>
      <c r="BP52" s="106"/>
      <c r="BQ52" s="106"/>
      <c r="BR52" s="106"/>
      <c r="BS52" s="107"/>
      <c r="BT52" s="106"/>
      <c r="BU52" s="106"/>
      <c r="BV52" s="108"/>
      <c r="BW52" s="106"/>
      <c r="BX52" s="106"/>
      <c r="BY52" s="106"/>
      <c r="BZ52" s="106"/>
      <c r="CA52" s="107"/>
      <c r="CB52" s="106"/>
      <c r="CC52" s="106"/>
      <c r="CD52" s="108"/>
      <c r="CE52" s="107"/>
      <c r="CF52" s="106"/>
      <c r="CG52" s="106"/>
      <c r="CH52" s="108"/>
      <c r="CI52" s="107"/>
      <c r="CJ52" s="106"/>
      <c r="CK52" s="106"/>
      <c r="CL52" s="108"/>
      <c r="CM52" s="107"/>
      <c r="CN52" s="106"/>
      <c r="CO52" s="106"/>
      <c r="CP52" s="108"/>
      <c r="CQ52" s="107"/>
      <c r="CR52" s="106"/>
      <c r="CS52" s="106"/>
      <c r="CT52" s="108"/>
      <c r="CU52" s="107"/>
      <c r="CV52" s="106"/>
      <c r="CW52" s="106"/>
      <c r="CX52" s="108"/>
    </row>
    <row r="53" spans="1:119" x14ac:dyDescent="0.25">
      <c r="A53" s="225"/>
      <c r="B53" s="290" t="s">
        <v>51</v>
      </c>
      <c r="C53" s="32">
        <v>10639</v>
      </c>
      <c r="D53" s="32">
        <v>11435</v>
      </c>
      <c r="E53" s="32">
        <v>13124</v>
      </c>
      <c r="F53" s="32">
        <v>13404</v>
      </c>
      <c r="G53" s="32">
        <v>10886</v>
      </c>
      <c r="H53" s="32">
        <v>12365</v>
      </c>
      <c r="I53" s="32">
        <v>11929</v>
      </c>
      <c r="J53" s="32">
        <v>12546</v>
      </c>
      <c r="K53" s="32">
        <v>9045</v>
      </c>
      <c r="L53" s="32">
        <v>10368</v>
      </c>
      <c r="M53" s="32">
        <v>9327</v>
      </c>
      <c r="N53" s="32">
        <v>9121</v>
      </c>
      <c r="O53" s="32">
        <v>7865</v>
      </c>
      <c r="P53" s="32">
        <v>7600</v>
      </c>
      <c r="Q53" s="32">
        <v>6404</v>
      </c>
      <c r="R53" s="32">
        <v>8104</v>
      </c>
      <c r="S53" s="32">
        <v>7724</v>
      </c>
      <c r="T53" s="32">
        <v>8183</v>
      </c>
      <c r="U53" s="32">
        <v>8630</v>
      </c>
      <c r="V53" s="32">
        <v>8940</v>
      </c>
      <c r="W53" s="32">
        <v>8507</v>
      </c>
      <c r="X53" s="32">
        <v>8972</v>
      </c>
      <c r="Y53" s="32">
        <v>10295</v>
      </c>
      <c r="Z53" s="32">
        <v>9077</v>
      </c>
      <c r="AA53" s="8">
        <f>17+271+1284+4859</f>
        <v>6431</v>
      </c>
      <c r="AB53" s="8">
        <f>170+1273+6339</f>
        <v>7782</v>
      </c>
      <c r="AC53" s="8">
        <v>6753</v>
      </c>
      <c r="AD53" s="8">
        <v>5854</v>
      </c>
      <c r="AE53" s="8">
        <v>4487</v>
      </c>
      <c r="AF53" s="8">
        <v>5743</v>
      </c>
      <c r="AG53" s="8">
        <f>214+1414+4741</f>
        <v>6369</v>
      </c>
      <c r="AH53" s="8">
        <f>191+1388+4644</f>
        <v>6223</v>
      </c>
      <c r="AI53" s="8">
        <f>266+907+3537</f>
        <v>4710</v>
      </c>
      <c r="AJ53" s="8">
        <f>241+1022+4600</f>
        <v>5863</v>
      </c>
      <c r="AK53" s="8">
        <v>4839</v>
      </c>
      <c r="AL53" s="8">
        <v>4805</v>
      </c>
      <c r="AM53" s="8">
        <v>4751</v>
      </c>
      <c r="AN53" s="8">
        <v>5085</v>
      </c>
      <c r="AO53" s="8">
        <v>4539</v>
      </c>
      <c r="AP53" s="8">
        <v>4981</v>
      </c>
      <c r="AQ53" s="8">
        <v>4141</v>
      </c>
      <c r="AR53" s="8">
        <v>4777</v>
      </c>
      <c r="AS53" s="8">
        <v>4754</v>
      </c>
      <c r="AT53" s="8">
        <v>2766</v>
      </c>
      <c r="AU53" s="8">
        <f>3681+169+865+7</f>
        <v>4722</v>
      </c>
      <c r="AV53" s="8">
        <f>3838+268+938+17</f>
        <v>5061</v>
      </c>
      <c r="AW53" s="8">
        <v>4539</v>
      </c>
      <c r="AX53" s="8">
        <v>5009</v>
      </c>
      <c r="AY53" s="10">
        <v>4316</v>
      </c>
      <c r="AZ53" s="8">
        <v>4734</v>
      </c>
      <c r="BA53" s="8">
        <v>4661</v>
      </c>
      <c r="BB53" s="9">
        <v>5032</v>
      </c>
      <c r="BC53" s="34">
        <v>4756</v>
      </c>
      <c r="BD53" s="32">
        <v>4566</v>
      </c>
      <c r="BE53" s="32">
        <v>4466</v>
      </c>
      <c r="BF53" s="33">
        <v>4111</v>
      </c>
      <c r="BG53" s="34">
        <v>3716</v>
      </c>
      <c r="BH53" s="32">
        <v>4452</v>
      </c>
      <c r="BI53" s="8">
        <f>617+782+226+2330</f>
        <v>3955</v>
      </c>
      <c r="BJ53">
        <f>681+768+170+2425</f>
        <v>4044</v>
      </c>
      <c r="BK53" s="225">
        <f>779+441+219+1816</f>
        <v>3255</v>
      </c>
      <c r="BL53" s="208">
        <f>9+1104+546+144+1833</f>
        <v>3636</v>
      </c>
      <c r="BM53" s="208">
        <f>1197+678+179+1738</f>
        <v>3792</v>
      </c>
      <c r="BN53" s="227">
        <v>3574</v>
      </c>
      <c r="BO53" s="213">
        <f>1158+605+9+1148</f>
        <v>2920</v>
      </c>
      <c r="BP53" s="214">
        <f>1220+579+21+1582</f>
        <v>3402</v>
      </c>
      <c r="BQ53" s="214">
        <v>3277</v>
      </c>
      <c r="BR53" s="214">
        <f>(1145+619+1245)</f>
        <v>3009</v>
      </c>
      <c r="BS53" s="213">
        <f>+(575+266+236)</f>
        <v>1077</v>
      </c>
      <c r="BT53" s="214">
        <f>+(749+444+581)</f>
        <v>1774</v>
      </c>
      <c r="BU53" s="214">
        <f>64+1230+614+13+1257</f>
        <v>3178</v>
      </c>
      <c r="BV53" s="259">
        <f>1215+621+81+1478</f>
        <v>3395</v>
      </c>
      <c r="BW53" s="214">
        <f>1184+476+67+1450</f>
        <v>3177</v>
      </c>
      <c r="BX53" s="214">
        <f>275+166+3+626</f>
        <v>1070</v>
      </c>
      <c r="BY53" s="214">
        <f>1299+508+1340</f>
        <v>3147</v>
      </c>
      <c r="BZ53" s="214">
        <f>1389+546+1429</f>
        <v>3364</v>
      </c>
      <c r="CA53" s="213">
        <f>1197+430+1241</f>
        <v>2868</v>
      </c>
      <c r="CB53" s="214">
        <v>3408</v>
      </c>
      <c r="CC53" s="214">
        <v>3974</v>
      </c>
      <c r="CD53" s="259">
        <v>3117</v>
      </c>
      <c r="CE53" s="213">
        <v>2231</v>
      </c>
      <c r="CF53" s="214">
        <v>0</v>
      </c>
      <c r="CG53" s="214">
        <v>1912</v>
      </c>
      <c r="CH53" s="259">
        <v>2809</v>
      </c>
      <c r="CI53" s="213">
        <v>2290</v>
      </c>
      <c r="CJ53" s="214">
        <v>2691</v>
      </c>
      <c r="CK53" s="214">
        <v>2355.6</v>
      </c>
      <c r="CL53" s="259">
        <v>1977</v>
      </c>
      <c r="CM53" s="213">
        <v>1815</v>
      </c>
      <c r="CN53" s="214">
        <v>2050</v>
      </c>
      <c r="CO53" s="214">
        <v>1856</v>
      </c>
      <c r="CP53" s="259">
        <v>1702</v>
      </c>
      <c r="CQ53" s="213">
        <v>1058</v>
      </c>
      <c r="CR53" s="214">
        <v>1312</v>
      </c>
      <c r="CS53" s="214">
        <v>1491</v>
      </c>
      <c r="CT53" s="259">
        <v>1427</v>
      </c>
      <c r="CU53" s="213">
        <v>1231</v>
      </c>
      <c r="CV53" s="214">
        <v>1179.8</v>
      </c>
      <c r="CW53" s="214"/>
      <c r="CX53" s="259"/>
    </row>
    <row r="54" spans="1:119" x14ac:dyDescent="0.25">
      <c r="A54" s="225"/>
      <c r="B54" s="290" t="s">
        <v>262</v>
      </c>
      <c r="C54" s="32">
        <v>123528</v>
      </c>
      <c r="D54" s="32">
        <v>139992</v>
      </c>
      <c r="E54" s="32">
        <v>158770</v>
      </c>
      <c r="F54" s="32">
        <v>172561</v>
      </c>
      <c r="G54" s="32">
        <v>149039</v>
      </c>
      <c r="H54" s="32">
        <v>175036</v>
      </c>
      <c r="I54" s="32">
        <v>159319</v>
      </c>
      <c r="J54" s="32">
        <v>155898</v>
      </c>
      <c r="K54" s="32">
        <v>133602</v>
      </c>
      <c r="L54" s="32">
        <v>162492</v>
      </c>
      <c r="M54" s="32">
        <v>155473</v>
      </c>
      <c r="N54" s="32">
        <v>171363</v>
      </c>
      <c r="O54" s="32">
        <v>146332</v>
      </c>
      <c r="P54" s="32">
        <v>150292</v>
      </c>
      <c r="Q54" s="32">
        <v>138479</v>
      </c>
      <c r="R54" s="32">
        <v>160548</v>
      </c>
      <c r="S54" s="32">
        <v>147364</v>
      </c>
      <c r="T54" s="32">
        <v>152487</v>
      </c>
      <c r="U54" s="32">
        <v>150231</v>
      </c>
      <c r="V54" s="32">
        <v>154166</v>
      </c>
      <c r="W54" s="32">
        <v>143794</v>
      </c>
      <c r="X54" s="32">
        <v>155386</v>
      </c>
      <c r="Y54" s="32">
        <v>156404</v>
      </c>
      <c r="Z54" s="32">
        <v>146768</v>
      </c>
      <c r="AA54" s="8">
        <v>100036</v>
      </c>
      <c r="AB54" s="8">
        <v>118516</v>
      </c>
      <c r="AC54" s="8">
        <v>113854</v>
      </c>
      <c r="AD54" s="8">
        <v>106975</v>
      </c>
      <c r="AE54" s="8">
        <v>100635</v>
      </c>
      <c r="AF54" s="8">
        <v>106622</v>
      </c>
      <c r="AG54" s="8">
        <v>117165</v>
      </c>
      <c r="AH54" s="8">
        <v>108443</v>
      </c>
      <c r="AI54" s="8">
        <v>81114</v>
      </c>
      <c r="AJ54" s="8">
        <v>92863</v>
      </c>
      <c r="AK54" s="8">
        <v>90055</v>
      </c>
      <c r="AL54" s="8">
        <v>90773</v>
      </c>
      <c r="AM54" s="8">
        <v>79436</v>
      </c>
      <c r="AN54" s="8">
        <v>91346</v>
      </c>
      <c r="AO54" s="8">
        <v>75540</v>
      </c>
      <c r="AP54" s="8">
        <v>78796</v>
      </c>
      <c r="AQ54" s="8">
        <v>76799</v>
      </c>
      <c r="AR54" s="8">
        <v>76926</v>
      </c>
      <c r="AS54" s="8">
        <v>79049</v>
      </c>
      <c r="AT54" s="8">
        <v>45081</v>
      </c>
      <c r="AU54" s="8">
        <v>76716</v>
      </c>
      <c r="AV54" s="8">
        <v>74572</v>
      </c>
      <c r="AW54" s="8">
        <v>74653</v>
      </c>
      <c r="AX54" s="8">
        <v>75044</v>
      </c>
      <c r="AY54" s="10">
        <v>66296</v>
      </c>
      <c r="AZ54" s="8">
        <v>76239</v>
      </c>
      <c r="BA54" s="8">
        <v>76840</v>
      </c>
      <c r="BB54" s="9">
        <v>85555</v>
      </c>
      <c r="BC54" s="34">
        <v>74835</v>
      </c>
      <c r="BD54" s="32">
        <v>78367</v>
      </c>
      <c r="BE54" s="32">
        <v>79671</v>
      </c>
      <c r="BF54" s="33">
        <v>74877</v>
      </c>
      <c r="BG54" s="34">
        <v>68403</v>
      </c>
      <c r="BH54" s="32">
        <v>71288</v>
      </c>
      <c r="BI54" s="8">
        <v>65903</v>
      </c>
      <c r="BJ54" s="32">
        <v>72815</v>
      </c>
      <c r="BK54" s="213">
        <v>70734</v>
      </c>
      <c r="BL54" s="214">
        <v>80345</v>
      </c>
      <c r="BM54" s="214">
        <v>81987</v>
      </c>
      <c r="BN54" s="259">
        <v>76434</v>
      </c>
      <c r="BO54" s="213">
        <v>63890</v>
      </c>
      <c r="BP54" s="214">
        <v>74150</v>
      </c>
      <c r="BQ54" s="214">
        <v>62266</v>
      </c>
      <c r="BR54" s="214">
        <v>59095</v>
      </c>
      <c r="BS54" s="213">
        <v>29373</v>
      </c>
      <c r="BT54" s="214">
        <v>41591</v>
      </c>
      <c r="BU54" s="214">
        <v>64288</v>
      </c>
      <c r="BV54" s="259">
        <v>65897</v>
      </c>
      <c r="BW54" s="214">
        <v>55550</v>
      </c>
      <c r="BX54" s="214">
        <v>29628</v>
      </c>
      <c r="BY54" s="214">
        <v>60872</v>
      </c>
      <c r="BZ54" s="214">
        <v>56641</v>
      </c>
      <c r="CA54" s="213">
        <v>49409</v>
      </c>
      <c r="CB54" s="214">
        <v>62841</v>
      </c>
      <c r="CC54" s="214">
        <v>69364</v>
      </c>
      <c r="CD54" s="259">
        <v>57402</v>
      </c>
      <c r="CE54" s="213">
        <v>36555</v>
      </c>
      <c r="CF54" s="214">
        <v>0</v>
      </c>
      <c r="CG54" s="214">
        <v>35176</v>
      </c>
      <c r="CH54" s="259">
        <v>50921</v>
      </c>
      <c r="CI54" s="213">
        <v>48563</v>
      </c>
      <c r="CJ54" s="214">
        <v>57176</v>
      </c>
      <c r="CK54" s="214">
        <v>54559</v>
      </c>
      <c r="CL54" s="259">
        <v>44638</v>
      </c>
      <c r="CM54" s="213">
        <v>39610</v>
      </c>
      <c r="CN54" s="214">
        <v>41730</v>
      </c>
      <c r="CO54" s="214">
        <v>39353</v>
      </c>
      <c r="CP54" s="259">
        <v>37151</v>
      </c>
      <c r="CQ54" s="213">
        <v>23103</v>
      </c>
      <c r="CR54" s="214">
        <v>26885</v>
      </c>
      <c r="CS54" s="214">
        <v>23786</v>
      </c>
      <c r="CT54" s="259">
        <v>24507</v>
      </c>
      <c r="CU54" s="213">
        <v>22233</v>
      </c>
      <c r="CV54" s="214">
        <v>23886</v>
      </c>
      <c r="CW54" s="214"/>
      <c r="CX54" s="259"/>
    </row>
    <row r="55" spans="1:119" x14ac:dyDescent="0.25">
      <c r="A55" s="225"/>
      <c r="B55" s="292" t="s">
        <v>123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10"/>
      <c r="AZ55" s="8"/>
      <c r="BA55" s="8"/>
      <c r="BB55" s="9"/>
      <c r="BC55" s="34"/>
      <c r="BD55" s="32"/>
      <c r="BE55" s="32"/>
      <c r="BF55" s="33"/>
      <c r="BG55" s="34"/>
      <c r="BH55" s="32"/>
      <c r="BI55" s="8"/>
      <c r="BK55" s="225"/>
      <c r="BL55" s="208"/>
      <c r="BM55" s="208"/>
      <c r="BN55" s="227"/>
      <c r="BO55" s="288"/>
      <c r="BP55" s="208"/>
      <c r="BQ55" s="208"/>
      <c r="BR55" s="208"/>
      <c r="BS55" s="225"/>
      <c r="BT55" s="208"/>
      <c r="BU55" s="208"/>
      <c r="BV55" s="295"/>
      <c r="BW55" s="293"/>
      <c r="BX55" s="208"/>
      <c r="BY55" s="208"/>
      <c r="BZ55" s="208"/>
      <c r="CA55" s="225"/>
      <c r="CB55" s="208"/>
      <c r="CC55" s="208"/>
      <c r="CD55" s="227"/>
      <c r="CE55" s="225"/>
      <c r="CF55" s="208"/>
      <c r="CG55" s="208"/>
      <c r="CH55" s="227"/>
      <c r="CI55" s="225"/>
      <c r="CJ55" s="208"/>
      <c r="CK55" s="208"/>
      <c r="CL55" s="227"/>
      <c r="CM55" s="225"/>
      <c r="CN55" s="208"/>
      <c r="CO55" s="208"/>
      <c r="CP55" s="227"/>
      <c r="CQ55" s="225"/>
      <c r="CR55" s="208"/>
      <c r="CS55" s="208"/>
      <c r="CT55" s="227"/>
      <c r="CU55" s="225"/>
      <c r="CV55" s="208"/>
      <c r="CW55" s="208"/>
      <c r="CX55" s="227"/>
    </row>
    <row r="56" spans="1:119" x14ac:dyDescent="0.25">
      <c r="A56" s="225"/>
      <c r="B56" s="227" t="s">
        <v>52</v>
      </c>
      <c r="C56" s="32">
        <v>723</v>
      </c>
      <c r="D56" s="32">
        <v>807</v>
      </c>
      <c r="E56" s="32">
        <v>866</v>
      </c>
      <c r="F56" s="32">
        <v>913</v>
      </c>
      <c r="G56" s="32">
        <v>975</v>
      </c>
      <c r="H56" s="32">
        <v>973</v>
      </c>
      <c r="I56" s="32">
        <v>969</v>
      </c>
      <c r="J56" s="32">
        <v>921</v>
      </c>
      <c r="K56" s="32">
        <v>744</v>
      </c>
      <c r="L56" s="32">
        <v>818</v>
      </c>
      <c r="M56" s="32">
        <v>890</v>
      </c>
      <c r="N56" s="32">
        <v>923</v>
      </c>
      <c r="O56" s="32">
        <v>826</v>
      </c>
      <c r="P56" s="32">
        <v>832</v>
      </c>
      <c r="Q56" s="32">
        <v>767</v>
      </c>
      <c r="R56" s="32">
        <v>880</v>
      </c>
      <c r="S56" s="32">
        <v>733</v>
      </c>
      <c r="T56" s="32">
        <v>826</v>
      </c>
      <c r="U56" s="32">
        <v>852</v>
      </c>
      <c r="V56" s="32">
        <v>893</v>
      </c>
      <c r="W56" s="32">
        <v>851</v>
      </c>
      <c r="X56" s="32">
        <v>851</v>
      </c>
      <c r="Y56" s="32">
        <v>893</v>
      </c>
      <c r="Z56" s="32">
        <v>839</v>
      </c>
      <c r="AA56" s="8">
        <v>521</v>
      </c>
      <c r="AB56" s="8">
        <v>688</v>
      </c>
      <c r="AC56" s="8">
        <v>603</v>
      </c>
      <c r="AD56" s="8">
        <v>614</v>
      </c>
      <c r="AE56" s="8">
        <v>543</v>
      </c>
      <c r="AF56" s="8">
        <v>638</v>
      </c>
      <c r="AG56" s="8">
        <v>713</v>
      </c>
      <c r="AH56" s="8">
        <v>612</v>
      </c>
      <c r="AI56" s="8">
        <v>454</v>
      </c>
      <c r="AJ56" s="8">
        <v>599</v>
      </c>
      <c r="AK56" s="8">
        <v>577</v>
      </c>
      <c r="AL56" s="8">
        <v>571</v>
      </c>
      <c r="AM56" s="8">
        <v>482</v>
      </c>
      <c r="AN56" s="8">
        <v>597</v>
      </c>
      <c r="AO56" s="8">
        <v>587</v>
      </c>
      <c r="AP56" s="8">
        <v>546</v>
      </c>
      <c r="AQ56" s="8">
        <v>426</v>
      </c>
      <c r="AR56" s="8">
        <v>501</v>
      </c>
      <c r="AS56" s="8">
        <v>491</v>
      </c>
      <c r="AT56" s="8">
        <v>383</v>
      </c>
      <c r="AU56" s="8">
        <v>438</v>
      </c>
      <c r="AV56" s="8">
        <v>501</v>
      </c>
      <c r="AW56" s="8">
        <v>485</v>
      </c>
      <c r="AX56" s="8">
        <v>474</v>
      </c>
      <c r="AY56" s="10">
        <v>454</v>
      </c>
      <c r="AZ56" s="8">
        <v>495</v>
      </c>
      <c r="BA56" s="8">
        <v>495</v>
      </c>
      <c r="BB56" s="9">
        <v>539</v>
      </c>
      <c r="BC56" s="34">
        <v>412</v>
      </c>
      <c r="BD56" s="32">
        <v>503</v>
      </c>
      <c r="BE56" s="32">
        <v>500</v>
      </c>
      <c r="BF56" s="33">
        <v>564</v>
      </c>
      <c r="BG56" s="34">
        <v>441</v>
      </c>
      <c r="BH56" s="32">
        <v>496</v>
      </c>
      <c r="BI56" s="8">
        <v>555</v>
      </c>
      <c r="BJ56" s="32">
        <v>517</v>
      </c>
      <c r="BK56" s="213">
        <v>506</v>
      </c>
      <c r="BL56" s="214">
        <v>570</v>
      </c>
      <c r="BM56" s="214">
        <v>574</v>
      </c>
      <c r="BN56" s="259">
        <v>527</v>
      </c>
      <c r="BO56" s="213">
        <v>478</v>
      </c>
      <c r="BP56" s="249">
        <v>479</v>
      </c>
      <c r="BQ56" s="249">
        <v>471</v>
      </c>
      <c r="BR56" s="249">
        <v>393</v>
      </c>
      <c r="BS56" s="262">
        <v>190</v>
      </c>
      <c r="BT56" s="249">
        <v>314</v>
      </c>
      <c r="BU56" s="249">
        <v>485</v>
      </c>
      <c r="BV56" s="259">
        <v>500</v>
      </c>
      <c r="BW56" s="214">
        <v>414</v>
      </c>
      <c r="BX56" s="249">
        <v>205</v>
      </c>
      <c r="BY56" s="249">
        <v>472</v>
      </c>
      <c r="BZ56" s="249">
        <v>478</v>
      </c>
      <c r="CA56" s="262">
        <v>429</v>
      </c>
      <c r="CB56" s="249">
        <v>489</v>
      </c>
      <c r="CC56" s="249">
        <v>493</v>
      </c>
      <c r="CD56" s="291">
        <v>451</v>
      </c>
      <c r="CE56" s="262">
        <v>256</v>
      </c>
      <c r="CF56" s="249">
        <v>0</v>
      </c>
      <c r="CG56" s="249">
        <v>336.3</v>
      </c>
      <c r="CH56" s="291">
        <v>400</v>
      </c>
      <c r="CI56" s="262">
        <v>361</v>
      </c>
      <c r="CJ56" s="249">
        <v>389</v>
      </c>
      <c r="CK56" s="249">
        <v>365</v>
      </c>
      <c r="CL56" s="291">
        <v>284</v>
      </c>
      <c r="CM56" s="262">
        <v>284</v>
      </c>
      <c r="CN56" s="249">
        <v>276</v>
      </c>
      <c r="CO56" s="249">
        <v>289</v>
      </c>
      <c r="CP56" s="291">
        <v>298</v>
      </c>
      <c r="CQ56" s="262">
        <v>200</v>
      </c>
      <c r="CR56" s="249">
        <v>189</v>
      </c>
      <c r="CS56" s="249">
        <v>237</v>
      </c>
      <c r="CT56" s="291">
        <v>214</v>
      </c>
      <c r="CU56" s="262">
        <v>175</v>
      </c>
      <c r="CV56" s="249">
        <v>150</v>
      </c>
      <c r="CW56" s="249"/>
      <c r="CX56" s="291"/>
    </row>
    <row r="57" spans="1:119" x14ac:dyDescent="0.25">
      <c r="A57" s="225"/>
      <c r="B57" s="227" t="s">
        <v>53</v>
      </c>
      <c r="C57" s="32">
        <v>385</v>
      </c>
      <c r="D57" s="32">
        <v>416</v>
      </c>
      <c r="E57" s="32">
        <v>280</v>
      </c>
      <c r="F57" s="32">
        <v>285</v>
      </c>
      <c r="G57" s="32">
        <v>262</v>
      </c>
      <c r="H57" s="32">
        <v>284</v>
      </c>
      <c r="I57" s="32">
        <v>278</v>
      </c>
      <c r="J57" s="32">
        <v>363</v>
      </c>
      <c r="K57" s="32">
        <v>483</v>
      </c>
      <c r="L57" s="32">
        <v>407</v>
      </c>
      <c r="M57" s="32">
        <v>369</v>
      </c>
      <c r="N57" s="32">
        <v>352</v>
      </c>
      <c r="O57" s="32">
        <v>393</v>
      </c>
      <c r="P57" s="32">
        <v>70</v>
      </c>
      <c r="Q57" s="32">
        <v>108</v>
      </c>
      <c r="R57" s="32">
        <v>70</v>
      </c>
      <c r="S57" s="32">
        <v>116</v>
      </c>
      <c r="T57" s="32">
        <v>166</v>
      </c>
      <c r="U57" s="32">
        <v>140</v>
      </c>
      <c r="V57" s="32">
        <v>93</v>
      </c>
      <c r="W57" s="32">
        <v>69</v>
      </c>
      <c r="X57" s="32">
        <v>80</v>
      </c>
      <c r="Y57" s="32">
        <v>101</v>
      </c>
      <c r="Z57" s="32">
        <v>169</v>
      </c>
      <c r="AA57" s="8">
        <v>287</v>
      </c>
      <c r="AB57" s="8">
        <v>455</v>
      </c>
      <c r="AC57" s="8">
        <v>368</v>
      </c>
      <c r="AD57" s="8">
        <v>154</v>
      </c>
      <c r="AE57" s="8">
        <v>146</v>
      </c>
      <c r="AF57" s="8">
        <v>253</v>
      </c>
      <c r="AG57" s="8">
        <v>328</v>
      </c>
      <c r="AH57" s="8">
        <v>461</v>
      </c>
      <c r="AI57" s="8">
        <v>574</v>
      </c>
      <c r="AJ57" s="8">
        <v>558</v>
      </c>
      <c r="AK57" s="8">
        <v>529</v>
      </c>
      <c r="AL57" s="8">
        <v>472</v>
      </c>
      <c r="AM57" s="8">
        <v>576</v>
      </c>
      <c r="AN57" s="8">
        <v>569</v>
      </c>
      <c r="AO57" s="8">
        <v>642</v>
      </c>
      <c r="AP57" s="8">
        <v>685</v>
      </c>
      <c r="AQ57" s="8">
        <v>704</v>
      </c>
      <c r="AR57" s="8">
        <v>580</v>
      </c>
      <c r="AS57" s="8">
        <v>537</v>
      </c>
      <c r="AT57" s="8">
        <v>460</v>
      </c>
      <c r="AU57" s="8">
        <v>551</v>
      </c>
      <c r="AV57" s="8">
        <v>507</v>
      </c>
      <c r="AW57" s="8">
        <v>619</v>
      </c>
      <c r="AX57" s="8">
        <v>648</v>
      </c>
      <c r="AY57" s="10">
        <v>723</v>
      </c>
      <c r="AZ57" s="8">
        <v>832</v>
      </c>
      <c r="BA57" s="8">
        <v>573</v>
      </c>
      <c r="BB57" s="9">
        <v>542</v>
      </c>
      <c r="BC57" s="34">
        <v>499</v>
      </c>
      <c r="BD57" s="32">
        <v>503</v>
      </c>
      <c r="BE57" s="32">
        <v>495</v>
      </c>
      <c r="BF57" s="33">
        <v>501</v>
      </c>
      <c r="BG57" s="34">
        <v>593</v>
      </c>
      <c r="BH57" s="32">
        <v>598</v>
      </c>
      <c r="BI57" s="8">
        <v>687</v>
      </c>
      <c r="BJ57" s="32">
        <v>789</v>
      </c>
      <c r="BK57" s="213">
        <v>813</v>
      </c>
      <c r="BL57" s="214">
        <v>886</v>
      </c>
      <c r="BM57" s="214">
        <v>933</v>
      </c>
      <c r="BN57" s="259">
        <v>942</v>
      </c>
      <c r="BO57" s="213">
        <v>1075</v>
      </c>
      <c r="BP57" s="249">
        <v>1624</v>
      </c>
      <c r="BQ57" s="249">
        <v>1437</v>
      </c>
      <c r="BR57" s="249">
        <v>1151</v>
      </c>
      <c r="BS57" s="262">
        <v>1627</v>
      </c>
      <c r="BT57" s="249">
        <v>1625</v>
      </c>
      <c r="BU57" s="249">
        <v>1286</v>
      </c>
      <c r="BV57" s="259">
        <v>1330</v>
      </c>
      <c r="BW57" s="214">
        <v>1064</v>
      </c>
      <c r="BX57" s="249">
        <v>1401</v>
      </c>
      <c r="BY57" s="249">
        <v>1450</v>
      </c>
      <c r="BZ57" s="249">
        <v>1411</v>
      </c>
      <c r="CA57" s="262">
        <v>1331</v>
      </c>
      <c r="CB57" s="249">
        <v>1124</v>
      </c>
      <c r="CC57" s="249">
        <v>855</v>
      </c>
      <c r="CD57" s="291">
        <v>831</v>
      </c>
      <c r="CE57" s="262">
        <v>623</v>
      </c>
      <c r="CF57" s="249">
        <v>40</v>
      </c>
      <c r="CG57" s="249">
        <v>620.4</v>
      </c>
      <c r="CH57" s="291">
        <v>670</v>
      </c>
      <c r="CI57" s="262">
        <v>335</v>
      </c>
      <c r="CJ57" s="249">
        <v>331</v>
      </c>
      <c r="CK57" s="249">
        <v>481</v>
      </c>
      <c r="CL57" s="291">
        <v>419</v>
      </c>
      <c r="CM57" s="262">
        <v>347</v>
      </c>
      <c r="CN57" s="249">
        <v>436</v>
      </c>
      <c r="CO57" s="249">
        <v>337</v>
      </c>
      <c r="CP57" s="291">
        <v>237</v>
      </c>
      <c r="CQ57" s="262">
        <v>204</v>
      </c>
      <c r="CR57" s="249">
        <v>130</v>
      </c>
      <c r="CS57" s="249">
        <v>74</v>
      </c>
      <c r="CT57" s="291">
        <v>59</v>
      </c>
      <c r="CU57" s="262">
        <v>150</v>
      </c>
      <c r="CV57" s="249">
        <v>172</v>
      </c>
      <c r="CW57" s="249"/>
      <c r="CX57" s="291"/>
    </row>
    <row r="58" spans="1:119" s="1" customFormat="1" x14ac:dyDescent="0.25">
      <c r="A58" s="306"/>
      <c r="B58" s="290" t="s">
        <v>54</v>
      </c>
      <c r="C58" s="66">
        <f>+C57+C56</f>
        <v>1108</v>
      </c>
      <c r="D58" s="66">
        <f t="shared" ref="D58:BN58" si="104">+D57+D56</f>
        <v>1223</v>
      </c>
      <c r="E58" s="66">
        <f t="shared" si="104"/>
        <v>1146</v>
      </c>
      <c r="F58" s="66">
        <f t="shared" si="104"/>
        <v>1198</v>
      </c>
      <c r="G58" s="66">
        <f t="shared" si="104"/>
        <v>1237</v>
      </c>
      <c r="H58" s="66">
        <f t="shared" si="104"/>
        <v>1257</v>
      </c>
      <c r="I58" s="66">
        <f t="shared" si="104"/>
        <v>1247</v>
      </c>
      <c r="J58" s="66">
        <f t="shared" si="104"/>
        <v>1284</v>
      </c>
      <c r="K58" s="66">
        <f t="shared" si="104"/>
        <v>1227</v>
      </c>
      <c r="L58" s="66">
        <f t="shared" si="104"/>
        <v>1225</v>
      </c>
      <c r="M58" s="66">
        <f t="shared" si="104"/>
        <v>1259</v>
      </c>
      <c r="N58" s="66">
        <f t="shared" si="104"/>
        <v>1275</v>
      </c>
      <c r="O58" s="66">
        <f t="shared" si="104"/>
        <v>1219</v>
      </c>
      <c r="P58" s="66">
        <f t="shared" si="104"/>
        <v>902</v>
      </c>
      <c r="Q58" s="66">
        <f t="shared" si="104"/>
        <v>875</v>
      </c>
      <c r="R58" s="66">
        <f t="shared" si="104"/>
        <v>950</v>
      </c>
      <c r="S58" s="66">
        <f t="shared" si="104"/>
        <v>849</v>
      </c>
      <c r="T58" s="66">
        <f t="shared" si="104"/>
        <v>992</v>
      </c>
      <c r="U58" s="66">
        <f t="shared" si="104"/>
        <v>992</v>
      </c>
      <c r="V58" s="66">
        <f t="shared" si="104"/>
        <v>986</v>
      </c>
      <c r="W58" s="66">
        <f t="shared" si="104"/>
        <v>920</v>
      </c>
      <c r="X58" s="66">
        <f t="shared" si="104"/>
        <v>931</v>
      </c>
      <c r="Y58" s="66">
        <f t="shared" si="104"/>
        <v>994</v>
      </c>
      <c r="Z58" s="66">
        <f t="shared" si="104"/>
        <v>1008</v>
      </c>
      <c r="AA58" s="63">
        <f t="shared" si="104"/>
        <v>808</v>
      </c>
      <c r="AB58" s="63">
        <f t="shared" si="104"/>
        <v>1143</v>
      </c>
      <c r="AC58" s="63">
        <f t="shared" si="104"/>
        <v>971</v>
      </c>
      <c r="AD58" s="63">
        <f t="shared" si="104"/>
        <v>768</v>
      </c>
      <c r="AE58" s="63">
        <f t="shared" si="104"/>
        <v>689</v>
      </c>
      <c r="AF58" s="63">
        <f t="shared" si="104"/>
        <v>891</v>
      </c>
      <c r="AG58" s="63">
        <f t="shared" si="104"/>
        <v>1041</v>
      </c>
      <c r="AH58" s="63">
        <f t="shared" si="104"/>
        <v>1073</v>
      </c>
      <c r="AI58" s="63">
        <f t="shared" si="104"/>
        <v>1028</v>
      </c>
      <c r="AJ58" s="63">
        <f t="shared" si="104"/>
        <v>1157</v>
      </c>
      <c r="AK58" s="63">
        <f t="shared" si="104"/>
        <v>1106</v>
      </c>
      <c r="AL58" s="63">
        <f t="shared" si="104"/>
        <v>1043</v>
      </c>
      <c r="AM58" s="63">
        <f t="shared" si="104"/>
        <v>1058</v>
      </c>
      <c r="AN58" s="63">
        <f t="shared" si="104"/>
        <v>1166</v>
      </c>
      <c r="AO58" s="63">
        <f t="shared" si="104"/>
        <v>1229</v>
      </c>
      <c r="AP58" s="63">
        <f t="shared" si="104"/>
        <v>1231</v>
      </c>
      <c r="AQ58" s="63">
        <f t="shared" si="104"/>
        <v>1130</v>
      </c>
      <c r="AR58" s="63">
        <f t="shared" si="104"/>
        <v>1081</v>
      </c>
      <c r="AS58" s="63">
        <f t="shared" si="104"/>
        <v>1028</v>
      </c>
      <c r="AT58" s="63">
        <f t="shared" si="104"/>
        <v>843</v>
      </c>
      <c r="AU58" s="63">
        <f t="shared" si="104"/>
        <v>989</v>
      </c>
      <c r="AV58" s="63">
        <f t="shared" si="104"/>
        <v>1008</v>
      </c>
      <c r="AW58" s="63">
        <f t="shared" si="104"/>
        <v>1104</v>
      </c>
      <c r="AX58" s="63">
        <f t="shared" si="104"/>
        <v>1122</v>
      </c>
      <c r="AY58" s="62">
        <f t="shared" si="104"/>
        <v>1177</v>
      </c>
      <c r="AZ58" s="63">
        <f t="shared" si="104"/>
        <v>1327</v>
      </c>
      <c r="BA58" s="63">
        <f t="shared" si="104"/>
        <v>1068</v>
      </c>
      <c r="BB58" s="64">
        <f t="shared" si="104"/>
        <v>1081</v>
      </c>
      <c r="BC58" s="65">
        <f t="shared" si="104"/>
        <v>911</v>
      </c>
      <c r="BD58" s="66">
        <f t="shared" si="104"/>
        <v>1006</v>
      </c>
      <c r="BE58" s="66">
        <f t="shared" si="104"/>
        <v>995</v>
      </c>
      <c r="BF58" s="67">
        <f t="shared" si="104"/>
        <v>1065</v>
      </c>
      <c r="BG58" s="65">
        <f t="shared" si="104"/>
        <v>1034</v>
      </c>
      <c r="BH58" s="66">
        <f t="shared" si="104"/>
        <v>1094</v>
      </c>
      <c r="BI58" s="66">
        <f t="shared" si="104"/>
        <v>1242</v>
      </c>
      <c r="BJ58" s="66">
        <f t="shared" si="104"/>
        <v>1306</v>
      </c>
      <c r="BK58" s="109">
        <f t="shared" si="104"/>
        <v>1319</v>
      </c>
      <c r="BL58" s="110">
        <f t="shared" si="104"/>
        <v>1456</v>
      </c>
      <c r="BM58" s="110">
        <f t="shared" si="104"/>
        <v>1507</v>
      </c>
      <c r="BN58" s="111">
        <f t="shared" si="104"/>
        <v>1469</v>
      </c>
      <c r="BO58" s="109">
        <f t="shared" ref="BO58:BV58" si="105">+BO57+BO56</f>
        <v>1553</v>
      </c>
      <c r="BP58" s="110">
        <f t="shared" si="105"/>
        <v>2103</v>
      </c>
      <c r="BQ58" s="110">
        <f t="shared" si="105"/>
        <v>1908</v>
      </c>
      <c r="BR58" s="110">
        <f t="shared" si="105"/>
        <v>1544</v>
      </c>
      <c r="BS58" s="109">
        <f t="shared" si="105"/>
        <v>1817</v>
      </c>
      <c r="BT58" s="110">
        <f t="shared" si="105"/>
        <v>1939</v>
      </c>
      <c r="BU58" s="110">
        <f t="shared" si="105"/>
        <v>1771</v>
      </c>
      <c r="BV58" s="111">
        <f t="shared" si="105"/>
        <v>1830</v>
      </c>
      <c r="BW58" s="110">
        <f t="shared" ref="BW58:BX58" si="106">+BW57+BW56</f>
        <v>1478</v>
      </c>
      <c r="BX58" s="110">
        <f t="shared" si="106"/>
        <v>1606</v>
      </c>
      <c r="BY58" s="110">
        <f t="shared" ref="BY58:BZ58" si="107">+BY57+BY56</f>
        <v>1922</v>
      </c>
      <c r="BZ58" s="110">
        <f t="shared" si="107"/>
        <v>1889</v>
      </c>
      <c r="CA58" s="109">
        <f t="shared" ref="CA58:CB58" si="108">+CA57+CA56</f>
        <v>1760</v>
      </c>
      <c r="CB58" s="110">
        <f t="shared" si="108"/>
        <v>1613</v>
      </c>
      <c r="CC58" s="110">
        <f t="shared" ref="CC58:CF58" si="109">+CC57+CC56</f>
        <v>1348</v>
      </c>
      <c r="CD58" s="111">
        <f t="shared" si="109"/>
        <v>1282</v>
      </c>
      <c r="CE58" s="109">
        <f t="shared" si="109"/>
        <v>879</v>
      </c>
      <c r="CF58" s="110">
        <f t="shared" si="109"/>
        <v>40</v>
      </c>
      <c r="CG58" s="110">
        <f t="shared" ref="CG58:CJ58" si="110">+CG57+CG56</f>
        <v>956.7</v>
      </c>
      <c r="CH58" s="111">
        <f t="shared" si="110"/>
        <v>1070</v>
      </c>
      <c r="CI58" s="109">
        <f t="shared" si="110"/>
        <v>696</v>
      </c>
      <c r="CJ58" s="110">
        <f t="shared" si="110"/>
        <v>720</v>
      </c>
      <c r="CK58" s="110">
        <f>+CK57+CK56-1</f>
        <v>845</v>
      </c>
      <c r="CL58" s="111">
        <f t="shared" ref="CL58:CP58" si="111">+CL57+CL56</f>
        <v>703</v>
      </c>
      <c r="CM58" s="109">
        <f t="shared" si="111"/>
        <v>631</v>
      </c>
      <c r="CN58" s="110">
        <f>+CN57+CN56+1</f>
        <v>713</v>
      </c>
      <c r="CO58" s="110">
        <f>+CO57+CO56</f>
        <v>626</v>
      </c>
      <c r="CP58" s="111">
        <f t="shared" si="111"/>
        <v>535</v>
      </c>
      <c r="CQ58" s="109">
        <f>+CQ57+CQ56-1</f>
        <v>403</v>
      </c>
      <c r="CR58" s="110">
        <f>+CR57+CR56</f>
        <v>319</v>
      </c>
      <c r="CS58" s="110">
        <f>+CS57+CS56+1</f>
        <v>312</v>
      </c>
      <c r="CT58" s="111">
        <f>+CT57+CT56</f>
        <v>273</v>
      </c>
      <c r="CU58" s="109">
        <f>+CU57+CU56</f>
        <v>325</v>
      </c>
      <c r="CV58" s="110">
        <f>+CV57+CV56</f>
        <v>322</v>
      </c>
      <c r="CW58" s="110">
        <f>+CW57+CW56</f>
        <v>0</v>
      </c>
      <c r="CX58" s="111">
        <f>+CX57+CX56</f>
        <v>0</v>
      </c>
      <c r="CY58" s="347"/>
      <c r="CZ58" s="347"/>
      <c r="DA58" s="347"/>
      <c r="DB58" s="347"/>
      <c r="DC58" s="347"/>
      <c r="DD58" s="347"/>
      <c r="DE58" s="347"/>
      <c r="DF58" s="347"/>
      <c r="DG58" s="347"/>
      <c r="DH58" s="347"/>
      <c r="DI58" s="347"/>
      <c r="DJ58" s="347"/>
      <c r="DK58" s="347"/>
      <c r="DL58" s="347"/>
      <c r="DM58" s="347"/>
      <c r="DN58" s="347"/>
      <c r="DO58" s="347"/>
    </row>
    <row r="59" spans="1:119" x14ac:dyDescent="0.25">
      <c r="A59" s="225"/>
      <c r="B59" s="292" t="s">
        <v>55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10"/>
      <c r="AZ59" s="8"/>
      <c r="BA59" s="8"/>
      <c r="BB59" s="9"/>
      <c r="BC59" s="34"/>
      <c r="BD59" s="32"/>
      <c r="BE59" s="32"/>
      <c r="BF59" s="33"/>
      <c r="BG59" s="34"/>
      <c r="BH59" s="32"/>
      <c r="BI59" s="8"/>
      <c r="BK59" s="225"/>
      <c r="BL59" s="208"/>
      <c r="BM59" s="208"/>
      <c r="BN59" s="227"/>
      <c r="BO59" s="288"/>
      <c r="BP59" s="208"/>
      <c r="BQ59" s="208"/>
      <c r="BR59" s="208"/>
      <c r="BS59" s="225"/>
      <c r="BT59" s="208"/>
      <c r="BU59" s="208"/>
      <c r="BV59" s="227"/>
      <c r="BW59" s="208"/>
      <c r="BX59" s="208"/>
      <c r="BY59" s="208"/>
      <c r="BZ59" s="208"/>
      <c r="CA59" s="225"/>
      <c r="CB59" s="208"/>
      <c r="CC59" s="208"/>
      <c r="CD59" s="227"/>
      <c r="CE59" s="225"/>
      <c r="CF59" s="208"/>
      <c r="CG59" s="208"/>
      <c r="CH59" s="227"/>
      <c r="CI59" s="225"/>
      <c r="CJ59" s="208"/>
      <c r="CK59" s="208"/>
      <c r="CL59" s="227"/>
      <c r="CM59" s="225"/>
      <c r="CN59" s="208"/>
      <c r="CO59" s="208"/>
      <c r="CP59" s="227"/>
      <c r="CQ59" s="225"/>
      <c r="CR59" s="208"/>
      <c r="CS59" s="208"/>
      <c r="CT59" s="227"/>
      <c r="CU59" s="225"/>
      <c r="CV59" s="208"/>
      <c r="CW59" s="208"/>
      <c r="CX59" s="227"/>
    </row>
    <row r="60" spans="1:119" x14ac:dyDescent="0.25">
      <c r="A60" s="225"/>
      <c r="B60" s="227" t="s">
        <v>52</v>
      </c>
      <c r="C60" s="36">
        <f>+C64/C56</f>
        <v>10.775933609958507</v>
      </c>
      <c r="D60" s="36">
        <v>10.3</v>
      </c>
      <c r="E60" s="36">
        <v>10.199999999999999</v>
      </c>
      <c r="F60" s="36">
        <v>9.8000000000000007</v>
      </c>
      <c r="G60" s="36">
        <v>9.3000000000000007</v>
      </c>
      <c r="H60" s="36">
        <v>8</v>
      </c>
      <c r="I60" s="36">
        <v>8.1</v>
      </c>
      <c r="J60" s="36">
        <v>8.6</v>
      </c>
      <c r="K60" s="36">
        <v>10</v>
      </c>
      <c r="L60" s="36">
        <v>9.5</v>
      </c>
      <c r="M60" s="36">
        <v>9.1</v>
      </c>
      <c r="N60" s="36">
        <v>9.1999999999999993</v>
      </c>
      <c r="O60" s="36">
        <v>9.6999999999999993</v>
      </c>
      <c r="P60" s="36">
        <v>8.3000000000000007</v>
      </c>
      <c r="Q60" s="36">
        <v>8.6999999999999993</v>
      </c>
      <c r="R60" s="36">
        <v>8.8000000000000007</v>
      </c>
      <c r="S60" s="36">
        <v>8.6</v>
      </c>
      <c r="T60" s="36">
        <v>8.6999999999999993</v>
      </c>
      <c r="U60" s="36">
        <v>8.6999999999999993</v>
      </c>
      <c r="V60" s="36">
        <v>7.8</v>
      </c>
      <c r="W60" s="36">
        <v>8</v>
      </c>
      <c r="X60" s="36">
        <v>8.3000000000000007</v>
      </c>
      <c r="Y60" s="36">
        <v>8.1</v>
      </c>
      <c r="Z60" s="36">
        <v>8.4</v>
      </c>
      <c r="AA60" s="12">
        <v>9.9</v>
      </c>
      <c r="AB60" s="12">
        <v>7.5</v>
      </c>
      <c r="AC60" s="12">
        <v>7.7</v>
      </c>
      <c r="AD60" s="12">
        <v>7.5</v>
      </c>
      <c r="AE60" s="12">
        <v>9.8000000000000007</v>
      </c>
      <c r="AF60" s="12">
        <v>7.4</v>
      </c>
      <c r="AG60" s="12">
        <v>6.7</v>
      </c>
      <c r="AH60" s="12">
        <v>7.5</v>
      </c>
      <c r="AI60" s="12">
        <v>6.6</v>
      </c>
      <c r="AJ60" s="12">
        <v>6.5</v>
      </c>
      <c r="AK60" s="12">
        <v>6.4</v>
      </c>
      <c r="AL60" s="12">
        <v>6.3</v>
      </c>
      <c r="AM60" s="12">
        <v>6.9</v>
      </c>
      <c r="AN60" s="12">
        <v>6.7</v>
      </c>
      <c r="AO60" s="12">
        <v>6.9</v>
      </c>
      <c r="AP60" s="12">
        <v>6.9</v>
      </c>
      <c r="AQ60" s="12">
        <v>7.4</v>
      </c>
      <c r="AR60" s="12">
        <v>8.1</v>
      </c>
      <c r="AS60" s="12">
        <f t="shared" ref="AS60:BH62" si="112">+AS64/AS56</f>
        <v>8.3156822810590629</v>
      </c>
      <c r="AT60" s="12">
        <f t="shared" si="112"/>
        <v>6.6919060052219317</v>
      </c>
      <c r="AU60" s="12">
        <f t="shared" si="112"/>
        <v>7.1803652968036529</v>
      </c>
      <c r="AV60" s="12">
        <f t="shared" si="112"/>
        <v>7.8682634730538918</v>
      </c>
      <c r="AW60" s="12">
        <f t="shared" si="112"/>
        <v>7.6</v>
      </c>
      <c r="AX60" s="12">
        <f t="shared" si="112"/>
        <v>7.9324894514767932</v>
      </c>
      <c r="AY60" s="11">
        <f t="shared" si="112"/>
        <v>7.8612334801762112</v>
      </c>
      <c r="AZ60" s="12">
        <f t="shared" si="112"/>
        <v>7.8565656565656568</v>
      </c>
      <c r="BA60" s="12">
        <f t="shared" si="112"/>
        <v>7.6767676767676765</v>
      </c>
      <c r="BB60" s="13">
        <f t="shared" si="112"/>
        <v>8.1539888682745829</v>
      </c>
      <c r="BC60" s="35">
        <f t="shared" si="112"/>
        <v>5.842233009708738</v>
      </c>
      <c r="BD60" s="36">
        <f t="shared" si="112"/>
        <v>7.1351888667992052</v>
      </c>
      <c r="BE60" s="36">
        <f t="shared" si="112"/>
        <v>6.3360000000000003</v>
      </c>
      <c r="BF60" s="37">
        <f t="shared" si="112"/>
        <v>6.5319148936170217</v>
      </c>
      <c r="BG60" s="35">
        <f t="shared" si="112"/>
        <v>7.1723356009070294</v>
      </c>
      <c r="BH60" s="36">
        <f t="shared" si="112"/>
        <v>7.0141129032258061</v>
      </c>
      <c r="BI60" s="36">
        <f t="shared" ref="BI60:BL62" si="113">+BI64/BI56</f>
        <v>6.5171171171171167</v>
      </c>
      <c r="BJ60" s="36">
        <f t="shared" si="113"/>
        <v>6.663442940038685</v>
      </c>
      <c r="BK60" s="301">
        <f t="shared" si="113"/>
        <v>6.3260869565217392</v>
      </c>
      <c r="BL60" s="297">
        <f t="shared" si="113"/>
        <v>6.3771929824561404</v>
      </c>
      <c r="BM60" s="297">
        <f t="shared" ref="BM60:BR60" si="114">+BM64/BM56</f>
        <v>7.2073170731707314</v>
      </c>
      <c r="BN60" s="302">
        <f t="shared" si="114"/>
        <v>7.3111954459203039</v>
      </c>
      <c r="BO60" s="301">
        <f t="shared" si="114"/>
        <v>6.9518828451882841</v>
      </c>
      <c r="BP60" s="297">
        <f t="shared" si="114"/>
        <v>7.2066805845511483</v>
      </c>
      <c r="BQ60" s="297">
        <f t="shared" si="114"/>
        <v>7.087048832271762</v>
      </c>
      <c r="BR60" s="297">
        <f t="shared" si="114"/>
        <v>7.1933842239185752</v>
      </c>
      <c r="BS60" s="301">
        <f t="shared" ref="BS60:BU62" si="115">+BS64/BS56</f>
        <v>7.9473684210526319</v>
      </c>
      <c r="BT60" s="297">
        <f t="shared" si="115"/>
        <v>6.9490445859872612</v>
      </c>
      <c r="BU60" s="297">
        <f t="shared" si="115"/>
        <v>5.3340206185567007</v>
      </c>
      <c r="BV60" s="302">
        <f t="shared" ref="BV60:BW60" si="116">+BV64/BV56</f>
        <v>5.1859999999999999</v>
      </c>
      <c r="BW60" s="297">
        <f t="shared" si="116"/>
        <v>4.8478260869565215</v>
      </c>
      <c r="BX60" s="297">
        <f t="shared" ref="BX60:BY60" si="117">+BX64/BX56</f>
        <v>7.5951219512195118</v>
      </c>
      <c r="BY60" s="297">
        <f t="shared" si="117"/>
        <v>6.1038135593220337</v>
      </c>
      <c r="BZ60" s="297">
        <f t="shared" ref="BZ60:CA60" si="118">+BZ64/BZ56</f>
        <v>5.464435146443515</v>
      </c>
      <c r="CA60" s="301">
        <f t="shared" si="118"/>
        <v>4.685314685314685</v>
      </c>
      <c r="CB60" s="297">
        <v>5.14</v>
      </c>
      <c r="CC60" s="297">
        <v>5.68</v>
      </c>
      <c r="CD60" s="302">
        <v>4.95</v>
      </c>
      <c r="CE60" s="301">
        <f t="shared" ref="CE60" si="119">+CE64/CE56</f>
        <v>3.890625</v>
      </c>
      <c r="CF60" s="297">
        <v>0</v>
      </c>
      <c r="CG60" s="297">
        <f t="shared" ref="CG60:CJ61" si="120">+CG64/CG56</f>
        <v>4.1421349985132325</v>
      </c>
      <c r="CH60" s="302">
        <f t="shared" si="120"/>
        <v>4.7275</v>
      </c>
      <c r="CI60" s="301">
        <f t="shared" si="120"/>
        <v>4.554016620498615</v>
      </c>
      <c r="CJ60" s="297">
        <f t="shared" si="120"/>
        <v>4.974293059125964</v>
      </c>
      <c r="CK60" s="297">
        <f t="shared" ref="CK60:CL60" si="121">+CK64/CK56</f>
        <v>5.1561643835616442</v>
      </c>
      <c r="CL60" s="302">
        <f t="shared" si="121"/>
        <v>4.654929577464789</v>
      </c>
      <c r="CM60" s="301">
        <v>3.39</v>
      </c>
      <c r="CN60" s="297">
        <v>3.56</v>
      </c>
      <c r="CO60" s="297">
        <v>3.73</v>
      </c>
      <c r="CP60" s="302">
        <v>4.3600000000000003</v>
      </c>
      <c r="CQ60" s="301">
        <v>3.61</v>
      </c>
      <c r="CR60" s="297">
        <v>4.67</v>
      </c>
      <c r="CS60" s="297">
        <v>3.68</v>
      </c>
      <c r="CT60" s="302">
        <v>2.88</v>
      </c>
      <c r="CU60" s="301">
        <v>3.65</v>
      </c>
      <c r="CV60" s="297">
        <v>3.87</v>
      </c>
      <c r="CW60" s="297"/>
      <c r="CX60" s="302"/>
    </row>
    <row r="61" spans="1:119" x14ac:dyDescent="0.25">
      <c r="A61" s="225"/>
      <c r="B61" s="227" t="s">
        <v>53</v>
      </c>
      <c r="C61" s="36">
        <f>+C65/C57</f>
        <v>0.62337662337662336</v>
      </c>
      <c r="D61" s="36">
        <v>0.5</v>
      </c>
      <c r="E61" s="36">
        <v>0.5</v>
      </c>
      <c r="F61" s="36">
        <v>0.7</v>
      </c>
      <c r="G61" s="36">
        <v>0.7</v>
      </c>
      <c r="H61" s="36">
        <v>1</v>
      </c>
      <c r="I61" s="36">
        <v>1.6</v>
      </c>
      <c r="J61" s="36">
        <v>0.8</v>
      </c>
      <c r="K61" s="36">
        <v>0.7</v>
      </c>
      <c r="L61" s="36">
        <v>0.7</v>
      </c>
      <c r="M61" s="36">
        <v>0.6</v>
      </c>
      <c r="N61" s="36">
        <v>0.7</v>
      </c>
      <c r="O61" s="36">
        <v>0.6</v>
      </c>
      <c r="P61" s="36">
        <v>1.4</v>
      </c>
      <c r="Q61" s="36">
        <v>0.9</v>
      </c>
      <c r="R61" s="36">
        <v>2.2000000000000002</v>
      </c>
      <c r="S61" s="36">
        <v>0.9</v>
      </c>
      <c r="T61" s="36">
        <v>0.9</v>
      </c>
      <c r="U61" s="36">
        <v>0.9</v>
      </c>
      <c r="V61" s="36">
        <v>2.1</v>
      </c>
      <c r="W61" s="36">
        <v>1</v>
      </c>
      <c r="X61" s="36">
        <v>0.7</v>
      </c>
      <c r="Y61" s="36">
        <v>0.7</v>
      </c>
      <c r="Z61" s="36">
        <v>0.9</v>
      </c>
      <c r="AA61" s="12">
        <v>1.1000000000000001</v>
      </c>
      <c r="AB61" s="12">
        <v>0.9</v>
      </c>
      <c r="AC61" s="12">
        <v>0.7</v>
      </c>
      <c r="AD61" s="12">
        <v>0.6</v>
      </c>
      <c r="AE61" s="12">
        <v>0.6</v>
      </c>
      <c r="AF61" s="12">
        <v>1</v>
      </c>
      <c r="AG61" s="12">
        <v>0.8</v>
      </c>
      <c r="AH61" s="12">
        <v>0.6</v>
      </c>
      <c r="AI61" s="12">
        <v>0.6</v>
      </c>
      <c r="AJ61" s="12">
        <v>0.9</v>
      </c>
      <c r="AK61" s="12">
        <v>0.6</v>
      </c>
      <c r="AL61" s="12">
        <v>0.7</v>
      </c>
      <c r="AM61" s="12">
        <v>0.8</v>
      </c>
      <c r="AN61" s="12">
        <v>0.5</v>
      </c>
      <c r="AO61" s="12">
        <v>0.5</v>
      </c>
      <c r="AP61" s="12">
        <v>0.6</v>
      </c>
      <c r="AQ61" s="12">
        <v>0.6</v>
      </c>
      <c r="AR61" s="12">
        <v>0.6</v>
      </c>
      <c r="AS61" s="12">
        <f t="shared" si="112"/>
        <v>0.62383612662942267</v>
      </c>
      <c r="AT61" s="12">
        <f t="shared" si="112"/>
        <v>0.81956521739130439</v>
      </c>
      <c r="AU61" s="12">
        <f t="shared" si="112"/>
        <v>0.67513611615245006</v>
      </c>
      <c r="AV61" s="12">
        <f t="shared" si="112"/>
        <v>0.70808678500986189</v>
      </c>
      <c r="AW61" s="12">
        <f t="shared" si="112"/>
        <v>0.57835218093699514</v>
      </c>
      <c r="AX61" s="12">
        <f t="shared" si="112"/>
        <v>0.5478395061728395</v>
      </c>
      <c r="AY61" s="11">
        <f t="shared" si="112"/>
        <v>0.45089903181189489</v>
      </c>
      <c r="AZ61" s="12">
        <f t="shared" si="112"/>
        <v>0.50841346153846156</v>
      </c>
      <c r="BA61" s="12">
        <f t="shared" si="112"/>
        <v>0.53752181500872598</v>
      </c>
      <c r="BB61" s="13">
        <f t="shared" si="112"/>
        <v>0.60516605166051662</v>
      </c>
      <c r="BC61" s="35">
        <f t="shared" si="112"/>
        <v>0.60320641282565135</v>
      </c>
      <c r="BD61" s="36">
        <f t="shared" si="112"/>
        <v>0.59642147117296218</v>
      </c>
      <c r="BE61" s="36">
        <f t="shared" si="112"/>
        <v>0.64444444444444449</v>
      </c>
      <c r="BF61" s="37">
        <f t="shared" si="112"/>
        <v>0.59880239520958078</v>
      </c>
      <c r="BG61" s="35">
        <f t="shared" si="112"/>
        <v>0.66441821247892074</v>
      </c>
      <c r="BH61" s="36">
        <f t="shared" si="112"/>
        <v>0.58862876254180607</v>
      </c>
      <c r="BI61" s="36">
        <f t="shared" si="113"/>
        <v>0.52547307132459975</v>
      </c>
      <c r="BJ61" s="36">
        <f t="shared" si="113"/>
        <v>0.50570342205323193</v>
      </c>
      <c r="BK61" s="301">
        <f t="shared" si="113"/>
        <v>0.46125461254612549</v>
      </c>
      <c r="BL61" s="297">
        <f t="shared" si="113"/>
        <v>0.46839729119638829</v>
      </c>
      <c r="BM61" s="297">
        <f t="shared" ref="BM61:BR62" si="122">+BM65/BM57</f>
        <v>0.41800643086816719</v>
      </c>
      <c r="BN61" s="302">
        <f t="shared" si="122"/>
        <v>0.45222929936305734</v>
      </c>
      <c r="BO61" s="301">
        <f t="shared" si="122"/>
        <v>0.48744186046511628</v>
      </c>
      <c r="BP61" s="297">
        <f t="shared" si="122"/>
        <v>0.37315270935960593</v>
      </c>
      <c r="BQ61" s="297">
        <f t="shared" si="122"/>
        <v>0.42240779401530965</v>
      </c>
      <c r="BR61" s="297">
        <f t="shared" si="122"/>
        <v>0.50043440486533453</v>
      </c>
      <c r="BS61" s="301">
        <f t="shared" si="115"/>
        <v>0.36877688998156116</v>
      </c>
      <c r="BT61" s="297">
        <f t="shared" si="115"/>
        <v>0.3433846153846154</v>
      </c>
      <c r="BU61" s="297">
        <f t="shared" si="115"/>
        <v>0.29004665629860032</v>
      </c>
      <c r="BV61" s="302">
        <f t="shared" ref="BV61:BW61" si="123">+BV65/BV57</f>
        <v>0.34586466165413532</v>
      </c>
      <c r="BW61" s="297">
        <f t="shared" si="123"/>
        <v>0.3674812030075188</v>
      </c>
      <c r="BX61" s="297">
        <f t="shared" ref="BX61:BY61" si="124">+BX65/BX57</f>
        <v>0.35546038543897218</v>
      </c>
      <c r="BY61" s="297">
        <f t="shared" si="124"/>
        <v>0.31517241379310346</v>
      </c>
      <c r="BZ61" s="297">
        <f t="shared" ref="BZ61:CA61" si="125">+BZ65/BZ57</f>
        <v>0.38625088589652729</v>
      </c>
      <c r="CA61" s="301">
        <f t="shared" si="125"/>
        <v>0.36589030803906836</v>
      </c>
      <c r="CB61" s="297">
        <v>0.3</v>
      </c>
      <c r="CC61" s="297">
        <v>0.3</v>
      </c>
      <c r="CD61" s="302">
        <v>0.36</v>
      </c>
      <c r="CE61" s="301">
        <f t="shared" ref="CE61" si="126">+CE65/CE57</f>
        <v>0.30337078651685395</v>
      </c>
      <c r="CF61" s="297">
        <v>0.28000000000000003</v>
      </c>
      <c r="CG61" s="297">
        <f t="shared" ref="CG61:CH61" si="127">+CG65/CG57</f>
        <v>0.30625402965828497</v>
      </c>
      <c r="CH61" s="302">
        <f t="shared" si="127"/>
        <v>0.34328358208955223</v>
      </c>
      <c r="CI61" s="301">
        <f t="shared" si="120"/>
        <v>0.2626865671641791</v>
      </c>
      <c r="CJ61" s="297">
        <f t="shared" si="120"/>
        <v>0.3595166163141994</v>
      </c>
      <c r="CK61" s="297">
        <v>0.49</v>
      </c>
      <c r="CL61" s="302">
        <f t="shared" ref="CL61" si="128">+CL65/CL57</f>
        <v>0.49880668257756561</v>
      </c>
      <c r="CM61" s="301">
        <v>0.5</v>
      </c>
      <c r="CN61" s="297">
        <v>0.47</v>
      </c>
      <c r="CO61" s="297">
        <v>0.33</v>
      </c>
      <c r="CP61" s="302">
        <v>0.32</v>
      </c>
      <c r="CQ61" s="301">
        <v>0.5</v>
      </c>
      <c r="CR61" s="297">
        <v>0.3</v>
      </c>
      <c r="CS61" s="297">
        <v>0.73</v>
      </c>
      <c r="CT61" s="302">
        <v>1.44</v>
      </c>
      <c r="CU61" s="301">
        <v>0.59</v>
      </c>
      <c r="CV61" s="297">
        <v>0.64</v>
      </c>
      <c r="CW61" s="297"/>
      <c r="CX61" s="302"/>
    </row>
    <row r="62" spans="1:119" s="1" customFormat="1" x14ac:dyDescent="0.25">
      <c r="A62" s="306"/>
      <c r="B62" s="290" t="s">
        <v>56</v>
      </c>
      <c r="C62" s="72">
        <f>+C66/C58</f>
        <v>7.2481949458483754</v>
      </c>
      <c r="D62" s="72">
        <v>7</v>
      </c>
      <c r="E62" s="72">
        <v>7.9</v>
      </c>
      <c r="F62" s="72">
        <v>7.6</v>
      </c>
      <c r="G62" s="72">
        <v>7.5</v>
      </c>
      <c r="H62" s="72">
        <v>6.4</v>
      </c>
      <c r="I62" s="72">
        <v>5.6</v>
      </c>
      <c r="J62" s="72">
        <v>6.4</v>
      </c>
      <c r="K62" s="72">
        <v>6.4</v>
      </c>
      <c r="L62" s="72">
        <v>6.6</v>
      </c>
      <c r="M62" s="72">
        <v>6.6</v>
      </c>
      <c r="N62" s="72">
        <v>6.8</v>
      </c>
      <c r="O62" s="72">
        <v>6.7</v>
      </c>
      <c r="P62" s="72">
        <v>7.8</v>
      </c>
      <c r="Q62" s="72">
        <v>7.8</v>
      </c>
      <c r="R62" s="72">
        <v>8.3000000000000007</v>
      </c>
      <c r="S62" s="72">
        <v>7.6</v>
      </c>
      <c r="T62" s="72">
        <v>7.4</v>
      </c>
      <c r="U62" s="72">
        <v>7.6</v>
      </c>
      <c r="V62" s="72">
        <v>7.3</v>
      </c>
      <c r="W62" s="72">
        <v>7.4</v>
      </c>
      <c r="X62" s="72">
        <v>7.7</v>
      </c>
      <c r="Y62" s="72">
        <v>7.4</v>
      </c>
      <c r="Z62" s="72">
        <v>7.1</v>
      </c>
      <c r="AA62" s="69">
        <v>6.8</v>
      </c>
      <c r="AB62" s="69">
        <v>4.9000000000000004</v>
      </c>
      <c r="AC62" s="69">
        <v>5</v>
      </c>
      <c r="AD62" s="69">
        <v>6.1</v>
      </c>
      <c r="AE62" s="69">
        <v>7.8</v>
      </c>
      <c r="AF62" s="69">
        <v>5.6</v>
      </c>
      <c r="AG62" s="69">
        <v>4.8</v>
      </c>
      <c r="AH62" s="69">
        <v>4.5999999999999996</v>
      </c>
      <c r="AI62" s="69">
        <v>3.3</v>
      </c>
      <c r="AJ62" s="69">
        <v>3.8</v>
      </c>
      <c r="AK62" s="69">
        <v>3.7</v>
      </c>
      <c r="AL62" s="69">
        <v>3.8</v>
      </c>
      <c r="AM62" s="69">
        <v>3.5</v>
      </c>
      <c r="AN62" s="69">
        <v>3.7</v>
      </c>
      <c r="AO62" s="69">
        <v>3.5</v>
      </c>
      <c r="AP62" s="69">
        <v>3.4</v>
      </c>
      <c r="AQ62" s="69">
        <v>3.2</v>
      </c>
      <c r="AR62" s="69">
        <v>4</v>
      </c>
      <c r="AS62" s="69">
        <f t="shared" si="112"/>
        <v>4.2976653696498053</v>
      </c>
      <c r="AT62" s="69">
        <f t="shared" si="112"/>
        <v>3.487544483985765</v>
      </c>
      <c r="AU62" s="69">
        <f t="shared" si="112"/>
        <v>3.5561172901921134</v>
      </c>
      <c r="AV62" s="69">
        <f t="shared" si="112"/>
        <v>4.2668650793650791</v>
      </c>
      <c r="AW62" s="69">
        <f t="shared" si="112"/>
        <v>3.6630434782608696</v>
      </c>
      <c r="AX62" s="69">
        <f t="shared" si="112"/>
        <v>3.6675579322638145</v>
      </c>
      <c r="AY62" s="68">
        <f t="shared" si="112"/>
        <v>3.3092608326253186</v>
      </c>
      <c r="AZ62" s="69">
        <f t="shared" si="112"/>
        <v>3.2494348153730219</v>
      </c>
      <c r="BA62" s="69">
        <f t="shared" si="112"/>
        <v>3.8464419475655429</v>
      </c>
      <c r="BB62" s="70">
        <f t="shared" si="112"/>
        <v>4.3691026827012029</v>
      </c>
      <c r="BC62" s="71">
        <f t="shared" si="112"/>
        <v>2.972557628979144</v>
      </c>
      <c r="BD62" s="72">
        <f t="shared" si="112"/>
        <v>3.8658051689860833</v>
      </c>
      <c r="BE62" s="72">
        <f t="shared" si="112"/>
        <v>3.5045226130653266</v>
      </c>
      <c r="BF62" s="73">
        <f t="shared" si="112"/>
        <v>3.7408450704225351</v>
      </c>
      <c r="BG62" s="71">
        <f t="shared" si="112"/>
        <v>3.4400386847195357</v>
      </c>
      <c r="BH62" s="72">
        <f t="shared" si="112"/>
        <v>3.5018281535648996</v>
      </c>
      <c r="BI62" s="72">
        <f t="shared" si="113"/>
        <v>3.2028985507246377</v>
      </c>
      <c r="BJ62" s="72">
        <f t="shared" si="113"/>
        <v>2.9433384379785603</v>
      </c>
      <c r="BK62" s="112">
        <f t="shared" si="113"/>
        <v>2.711144806671721</v>
      </c>
      <c r="BL62" s="113">
        <f t="shared" si="113"/>
        <v>2.7815934065934065</v>
      </c>
      <c r="BM62" s="113">
        <f>+BM66/BM58</f>
        <v>3.0039814200398141</v>
      </c>
      <c r="BN62" s="114">
        <f>+BN66/BN58</f>
        <v>2.9128658951667803</v>
      </c>
      <c r="BO62" s="112">
        <f>+BO66/BO58</f>
        <v>2.4771410173857049</v>
      </c>
      <c r="BP62" s="113">
        <f>+BP66/BP58</f>
        <v>1.929624346172135</v>
      </c>
      <c r="BQ62" s="113">
        <f>+BQ66/BQ58</f>
        <v>2.0676100628930816</v>
      </c>
      <c r="BR62" s="113">
        <f t="shared" si="122"/>
        <v>2.2040155440414506</v>
      </c>
      <c r="BS62" s="112">
        <f t="shared" si="115"/>
        <v>1.1612548156301596</v>
      </c>
      <c r="BT62" s="113">
        <f t="shared" si="115"/>
        <v>1.4130995358432181</v>
      </c>
      <c r="BU62" s="113">
        <f t="shared" si="115"/>
        <v>1.6713721061547149</v>
      </c>
      <c r="BV62" s="114">
        <f t="shared" ref="BV62:BW62" si="129">+BV66/BV58</f>
        <v>1.6683060109289618</v>
      </c>
      <c r="BW62" s="113">
        <f t="shared" si="129"/>
        <v>1.6224627875507442</v>
      </c>
      <c r="BX62" s="113">
        <f t="shared" ref="BX62:BY62" si="130">+BX66/BX58</f>
        <v>1.2795765877957659</v>
      </c>
      <c r="BY62" s="113">
        <f t="shared" si="130"/>
        <v>1.7367325702393339</v>
      </c>
      <c r="BZ62" s="113">
        <f t="shared" ref="BZ62:CC62" si="131">+BZ66/BZ58</f>
        <v>1.6712546320804658</v>
      </c>
      <c r="CA62" s="112">
        <f t="shared" si="131"/>
        <v>1.41875</v>
      </c>
      <c r="CB62" s="113">
        <f t="shared" si="131"/>
        <v>1.7706137631742096</v>
      </c>
      <c r="CC62" s="113">
        <f t="shared" si="131"/>
        <v>2.2655786350148368</v>
      </c>
      <c r="CD62" s="114">
        <f t="shared" ref="CD62:CG62" si="132">+CD66/CD58</f>
        <v>1.9726989079563182</v>
      </c>
      <c r="CE62" s="112">
        <f t="shared" si="132"/>
        <v>1.348122866894198</v>
      </c>
      <c r="CF62" s="113">
        <f t="shared" si="132"/>
        <v>0.77500000000000002</v>
      </c>
      <c r="CG62" s="113">
        <f t="shared" si="132"/>
        <v>1.6546461795756244</v>
      </c>
      <c r="CH62" s="114">
        <f t="shared" ref="CH62:CO62" si="133">+CH66/CH58</f>
        <v>1.9822429906542056</v>
      </c>
      <c r="CI62" s="112">
        <f t="shared" si="133"/>
        <v>2.4885057471264367</v>
      </c>
      <c r="CJ62" s="113">
        <f t="shared" si="133"/>
        <v>2.8527777777777779</v>
      </c>
      <c r="CK62" s="113">
        <f t="shared" si="133"/>
        <v>2.5041420118343196</v>
      </c>
      <c r="CL62" s="114">
        <f t="shared" ref="CL62:CP62" si="134">+CL66/CL58</f>
        <v>2.1778093883357039</v>
      </c>
      <c r="CM62" s="112">
        <f t="shared" si="133"/>
        <v>1.7987321711568938</v>
      </c>
      <c r="CN62" s="113">
        <f t="shared" si="133"/>
        <v>1.6690042075736324</v>
      </c>
      <c r="CO62" s="113">
        <f t="shared" si="133"/>
        <v>1.9025559105431309</v>
      </c>
      <c r="CP62" s="114">
        <f t="shared" si="134"/>
        <v>2.5719626168224301</v>
      </c>
      <c r="CQ62" s="112">
        <f>+CQ66/CQ58</f>
        <v>2.0397022332506203</v>
      </c>
      <c r="CR62" s="113">
        <f t="shared" ref="CR62:CT62" si="135">+CR66/CR58</f>
        <v>2.8934169278996866</v>
      </c>
      <c r="CS62" s="113">
        <f>+CS66/CS58+0.01</f>
        <v>2.9843589743589742</v>
      </c>
      <c r="CT62" s="114">
        <f t="shared" si="135"/>
        <v>2.567765567765568</v>
      </c>
      <c r="CU62" s="112">
        <f>+CU66/CU58</f>
        <v>2.2400000000000002</v>
      </c>
      <c r="CV62" s="113">
        <f>+CV66/CV58-0.01</f>
        <v>2.1359627329192548</v>
      </c>
      <c r="CW62" s="113" t="e">
        <f>+CW66/CW58+0.01</f>
        <v>#DIV/0!</v>
      </c>
      <c r="CX62" s="114" t="e">
        <f t="shared" ref="CX62" si="136">+CX66/CX58</f>
        <v>#DIV/0!</v>
      </c>
      <c r="CY62" s="347"/>
      <c r="CZ62" s="347"/>
      <c r="DA62" s="347"/>
      <c r="DB62" s="347"/>
      <c r="DC62" s="347"/>
      <c r="DD62" s="347"/>
      <c r="DE62" s="347"/>
      <c r="DF62" s="347"/>
      <c r="DG62" s="347"/>
      <c r="DH62" s="347"/>
      <c r="DI62" s="347"/>
      <c r="DJ62" s="347"/>
      <c r="DK62" s="347"/>
      <c r="DL62" s="347"/>
      <c r="DM62" s="347"/>
      <c r="DN62" s="347"/>
      <c r="DO62" s="347"/>
    </row>
    <row r="63" spans="1:119" x14ac:dyDescent="0.25">
      <c r="A63" s="225"/>
      <c r="B63" s="292" t="s">
        <v>57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10"/>
      <c r="AZ63" s="8"/>
      <c r="BA63" s="8"/>
      <c r="BB63" s="9"/>
      <c r="BC63" s="34"/>
      <c r="BD63" s="32"/>
      <c r="BE63" s="32"/>
      <c r="BF63" s="33"/>
      <c r="BG63" s="34"/>
      <c r="BH63" s="32"/>
      <c r="BI63" s="8"/>
      <c r="BK63" s="225"/>
      <c r="BL63" s="208"/>
      <c r="BM63" s="208"/>
      <c r="BN63" s="227"/>
      <c r="BO63" s="288"/>
      <c r="BP63" s="208"/>
      <c r="BQ63" s="208"/>
      <c r="BR63" s="208"/>
      <c r="BS63" s="225"/>
      <c r="BT63" s="208"/>
      <c r="BU63" s="208"/>
      <c r="BV63" s="227"/>
      <c r="BW63" s="208"/>
      <c r="BX63" s="208"/>
      <c r="BY63" s="208"/>
      <c r="BZ63" s="208"/>
      <c r="CA63" s="225"/>
      <c r="CB63" s="208"/>
      <c r="CC63" s="208"/>
      <c r="CD63" s="227"/>
      <c r="CE63" s="225"/>
      <c r="CF63" s="208"/>
      <c r="CG63" s="208"/>
      <c r="CH63" s="227"/>
      <c r="CI63" s="225"/>
      <c r="CJ63" s="208"/>
      <c r="CK63" s="208"/>
      <c r="CL63" s="227"/>
      <c r="CM63" s="225"/>
      <c r="CN63" s="208"/>
      <c r="CO63" s="208"/>
      <c r="CP63" s="227"/>
      <c r="CQ63" s="225"/>
      <c r="CR63" s="208"/>
      <c r="CS63" s="208"/>
      <c r="CT63" s="227"/>
      <c r="CU63" s="225"/>
      <c r="CV63" s="208"/>
      <c r="CW63" s="208"/>
      <c r="CX63" s="227"/>
    </row>
    <row r="64" spans="1:119" x14ac:dyDescent="0.25">
      <c r="A64" s="225"/>
      <c r="B64" s="227" t="s">
        <v>52</v>
      </c>
      <c r="C64" s="32">
        <v>7791</v>
      </c>
      <c r="D64" s="32">
        <v>8277</v>
      </c>
      <c r="E64" s="32">
        <v>8865</v>
      </c>
      <c r="F64" s="32">
        <v>8911</v>
      </c>
      <c r="G64" s="32">
        <v>9072</v>
      </c>
      <c r="H64" s="32">
        <v>7786</v>
      </c>
      <c r="I64" s="32">
        <v>7880</v>
      </c>
      <c r="J64" s="32">
        <v>7958</v>
      </c>
      <c r="K64" s="32">
        <v>7466</v>
      </c>
      <c r="L64" s="32">
        <v>7785</v>
      </c>
      <c r="M64" s="32">
        <v>8076</v>
      </c>
      <c r="N64" s="32">
        <v>8475</v>
      </c>
      <c r="O64" s="32">
        <v>8003</v>
      </c>
      <c r="P64" s="32">
        <v>6920</v>
      </c>
      <c r="Q64" s="32">
        <v>6692</v>
      </c>
      <c r="R64" s="32">
        <v>7706</v>
      </c>
      <c r="S64" s="32">
        <v>6330</v>
      </c>
      <c r="T64" s="32">
        <v>7187</v>
      </c>
      <c r="U64" s="32">
        <v>7423</v>
      </c>
      <c r="V64" s="32">
        <v>6978</v>
      </c>
      <c r="W64" s="32">
        <v>6773</v>
      </c>
      <c r="X64" s="32">
        <v>7086</v>
      </c>
      <c r="Y64" s="32">
        <v>7250</v>
      </c>
      <c r="Z64" s="32">
        <v>7024</v>
      </c>
      <c r="AA64" s="8">
        <v>5145</v>
      </c>
      <c r="AB64" s="8">
        <v>5168</v>
      </c>
      <c r="AC64" s="8">
        <v>4626</v>
      </c>
      <c r="AD64" s="8">
        <v>4620</v>
      </c>
      <c r="AE64" s="8">
        <v>5317</v>
      </c>
      <c r="AF64" s="8">
        <v>4753</v>
      </c>
      <c r="AG64" s="8">
        <v>4749</v>
      </c>
      <c r="AH64" s="8">
        <v>4598</v>
      </c>
      <c r="AI64" s="8">
        <v>2991</v>
      </c>
      <c r="AJ64" s="8">
        <v>3887</v>
      </c>
      <c r="AK64" s="8">
        <v>3714</v>
      </c>
      <c r="AL64" s="8">
        <v>3614</v>
      </c>
      <c r="AM64" s="8">
        <v>3349</v>
      </c>
      <c r="AN64" s="8">
        <v>3971</v>
      </c>
      <c r="AO64" s="8">
        <v>4039</v>
      </c>
      <c r="AP64" s="8">
        <v>3769</v>
      </c>
      <c r="AQ64" s="8">
        <v>3169</v>
      </c>
      <c r="AR64" s="8">
        <v>4051</v>
      </c>
      <c r="AS64" s="8">
        <v>4083</v>
      </c>
      <c r="AT64" s="8">
        <v>2563</v>
      </c>
      <c r="AU64" s="8">
        <v>3145</v>
      </c>
      <c r="AV64" s="8">
        <v>3942</v>
      </c>
      <c r="AW64" s="8">
        <v>3686</v>
      </c>
      <c r="AX64" s="8">
        <v>3760</v>
      </c>
      <c r="AY64" s="10">
        <v>3569</v>
      </c>
      <c r="AZ64" s="8">
        <v>3889</v>
      </c>
      <c r="BA64" s="8">
        <v>3800</v>
      </c>
      <c r="BB64" s="9">
        <v>4395</v>
      </c>
      <c r="BC64" s="34">
        <v>2407</v>
      </c>
      <c r="BD64" s="32">
        <v>3589</v>
      </c>
      <c r="BE64" s="32">
        <v>3168</v>
      </c>
      <c r="BF64" s="33">
        <v>3684</v>
      </c>
      <c r="BG64" s="34">
        <v>3163</v>
      </c>
      <c r="BH64" s="32">
        <v>3479</v>
      </c>
      <c r="BI64" s="8">
        <v>3617</v>
      </c>
      <c r="BJ64" s="32">
        <v>3445</v>
      </c>
      <c r="BK64" s="213">
        <v>3201</v>
      </c>
      <c r="BL64" s="214">
        <v>3635</v>
      </c>
      <c r="BM64" s="214">
        <v>4137</v>
      </c>
      <c r="BN64" s="259">
        <v>3853</v>
      </c>
      <c r="BO64" s="213">
        <v>3323</v>
      </c>
      <c r="BP64" s="249">
        <v>3452</v>
      </c>
      <c r="BQ64" s="249">
        <v>3338</v>
      </c>
      <c r="BR64" s="249">
        <v>2827</v>
      </c>
      <c r="BS64" s="262">
        <v>1510</v>
      </c>
      <c r="BT64" s="249">
        <v>2182</v>
      </c>
      <c r="BU64" s="249">
        <v>2587</v>
      </c>
      <c r="BV64" s="291">
        <v>2593</v>
      </c>
      <c r="BW64" s="249">
        <v>2007</v>
      </c>
      <c r="BX64" s="249">
        <v>1557</v>
      </c>
      <c r="BY64" s="249">
        <v>2881</v>
      </c>
      <c r="BZ64" s="249">
        <v>2612</v>
      </c>
      <c r="CA64" s="262">
        <v>2010</v>
      </c>
      <c r="CB64" s="249">
        <v>2515</v>
      </c>
      <c r="CC64" s="249">
        <v>2801</v>
      </c>
      <c r="CD64" s="291">
        <v>2232</v>
      </c>
      <c r="CE64" s="262">
        <v>996</v>
      </c>
      <c r="CF64" s="249">
        <v>20</v>
      </c>
      <c r="CG64" s="249">
        <v>1393</v>
      </c>
      <c r="CH64" s="291">
        <v>1891</v>
      </c>
      <c r="CI64" s="262">
        <v>1644</v>
      </c>
      <c r="CJ64" s="249">
        <v>1935</v>
      </c>
      <c r="CK64" s="249">
        <v>1882</v>
      </c>
      <c r="CL64" s="291">
        <v>1322</v>
      </c>
      <c r="CM64" s="262">
        <v>961</v>
      </c>
      <c r="CN64" s="249">
        <v>983</v>
      </c>
      <c r="CO64" s="249">
        <v>1079</v>
      </c>
      <c r="CP64" s="291">
        <v>1299</v>
      </c>
      <c r="CQ64" s="262">
        <v>721</v>
      </c>
      <c r="CR64" s="249">
        <v>884</v>
      </c>
      <c r="CS64" s="249">
        <v>874</v>
      </c>
      <c r="CT64" s="291">
        <v>616</v>
      </c>
      <c r="CU64" s="262">
        <v>639</v>
      </c>
      <c r="CV64" s="249">
        <v>581</v>
      </c>
      <c r="CW64" s="249"/>
      <c r="CX64" s="291"/>
    </row>
    <row r="65" spans="1:119" x14ac:dyDescent="0.25">
      <c r="A65" s="225"/>
      <c r="B65" s="227" t="s">
        <v>53</v>
      </c>
      <c r="C65" s="32">
        <v>240</v>
      </c>
      <c r="D65" s="32">
        <v>226</v>
      </c>
      <c r="E65" s="32">
        <v>138</v>
      </c>
      <c r="F65" s="32">
        <v>203</v>
      </c>
      <c r="G65" s="32">
        <v>196</v>
      </c>
      <c r="H65" s="32">
        <v>293</v>
      </c>
      <c r="I65" s="32">
        <v>283</v>
      </c>
      <c r="J65" s="32">
        <v>286</v>
      </c>
      <c r="K65" s="32">
        <v>337</v>
      </c>
      <c r="L65" s="32">
        <v>278</v>
      </c>
      <c r="M65" s="32">
        <v>217</v>
      </c>
      <c r="N65" s="32">
        <v>252</v>
      </c>
      <c r="O65" s="32">
        <v>220</v>
      </c>
      <c r="P65" s="32">
        <v>95</v>
      </c>
      <c r="Q65" s="32">
        <v>100</v>
      </c>
      <c r="R65" s="32">
        <v>151</v>
      </c>
      <c r="S65" s="32">
        <v>110</v>
      </c>
      <c r="T65" s="32">
        <v>153</v>
      </c>
      <c r="U65" s="32">
        <v>126</v>
      </c>
      <c r="V65" s="32">
        <v>194</v>
      </c>
      <c r="W65" s="32">
        <v>70</v>
      </c>
      <c r="X65" s="32">
        <v>55</v>
      </c>
      <c r="Y65" s="32">
        <v>69</v>
      </c>
      <c r="Z65" s="32">
        <v>155</v>
      </c>
      <c r="AA65" s="8">
        <v>313</v>
      </c>
      <c r="AB65" s="8">
        <v>409</v>
      </c>
      <c r="AC65" s="8">
        <v>245</v>
      </c>
      <c r="AD65" s="8">
        <v>97</v>
      </c>
      <c r="AE65" s="8">
        <v>89</v>
      </c>
      <c r="AF65" s="8">
        <v>251</v>
      </c>
      <c r="AG65" s="8">
        <v>275</v>
      </c>
      <c r="AH65" s="8">
        <v>289</v>
      </c>
      <c r="AI65" s="8">
        <v>353</v>
      </c>
      <c r="AJ65" s="8">
        <v>482</v>
      </c>
      <c r="AK65" s="8">
        <v>327</v>
      </c>
      <c r="AL65" s="8">
        <v>307</v>
      </c>
      <c r="AM65" s="8">
        <v>350</v>
      </c>
      <c r="AN65" s="8">
        <v>287</v>
      </c>
      <c r="AO65" s="8">
        <v>301</v>
      </c>
      <c r="AP65" s="8">
        <v>389</v>
      </c>
      <c r="AQ65" s="8">
        <v>453</v>
      </c>
      <c r="AR65" s="8">
        <v>319</v>
      </c>
      <c r="AS65" s="8">
        <v>335</v>
      </c>
      <c r="AT65" s="8">
        <v>377</v>
      </c>
      <c r="AU65" s="8">
        <v>372</v>
      </c>
      <c r="AV65" s="8">
        <v>359</v>
      </c>
      <c r="AW65" s="8">
        <v>358</v>
      </c>
      <c r="AX65" s="8">
        <v>355</v>
      </c>
      <c r="AY65" s="10">
        <v>326</v>
      </c>
      <c r="AZ65" s="8">
        <v>423</v>
      </c>
      <c r="BA65" s="8">
        <v>308</v>
      </c>
      <c r="BB65" s="9">
        <v>328</v>
      </c>
      <c r="BC65" s="34">
        <v>301</v>
      </c>
      <c r="BD65" s="32">
        <v>300</v>
      </c>
      <c r="BE65" s="32">
        <v>319</v>
      </c>
      <c r="BF65" s="33">
        <v>300</v>
      </c>
      <c r="BG65" s="34">
        <v>394</v>
      </c>
      <c r="BH65" s="32">
        <v>352</v>
      </c>
      <c r="BI65" s="8">
        <v>361</v>
      </c>
      <c r="BJ65" s="32">
        <v>399</v>
      </c>
      <c r="BK65" s="213">
        <v>375</v>
      </c>
      <c r="BL65" s="214">
        <v>415</v>
      </c>
      <c r="BM65" s="214">
        <v>390</v>
      </c>
      <c r="BN65" s="259">
        <v>426</v>
      </c>
      <c r="BO65" s="213">
        <v>524</v>
      </c>
      <c r="BP65" s="249">
        <v>606</v>
      </c>
      <c r="BQ65" s="249">
        <v>607</v>
      </c>
      <c r="BR65" s="249">
        <v>576</v>
      </c>
      <c r="BS65" s="262">
        <v>600</v>
      </c>
      <c r="BT65" s="249">
        <v>558</v>
      </c>
      <c r="BU65" s="249">
        <v>373</v>
      </c>
      <c r="BV65" s="291">
        <v>460</v>
      </c>
      <c r="BW65" s="249">
        <v>391</v>
      </c>
      <c r="BX65" s="249">
        <v>498</v>
      </c>
      <c r="BY65" s="249">
        <v>457</v>
      </c>
      <c r="BZ65" s="249">
        <v>545</v>
      </c>
      <c r="CA65" s="262">
        <v>487</v>
      </c>
      <c r="CB65" s="249">
        <v>341</v>
      </c>
      <c r="CC65" s="249">
        <v>253</v>
      </c>
      <c r="CD65" s="291">
        <v>297</v>
      </c>
      <c r="CE65" s="262">
        <v>189</v>
      </c>
      <c r="CF65" s="249">
        <v>11</v>
      </c>
      <c r="CG65" s="249">
        <v>190</v>
      </c>
      <c r="CH65" s="291">
        <v>230</v>
      </c>
      <c r="CI65" s="262">
        <v>88</v>
      </c>
      <c r="CJ65" s="249">
        <v>119</v>
      </c>
      <c r="CK65" s="249">
        <v>234</v>
      </c>
      <c r="CL65" s="291">
        <v>209</v>
      </c>
      <c r="CM65" s="262">
        <v>174</v>
      </c>
      <c r="CN65" s="249">
        <v>207</v>
      </c>
      <c r="CO65" s="249">
        <v>112</v>
      </c>
      <c r="CP65" s="291">
        <v>77</v>
      </c>
      <c r="CQ65" s="262">
        <v>101</v>
      </c>
      <c r="CR65" s="249">
        <v>39</v>
      </c>
      <c r="CS65" s="249">
        <v>54</v>
      </c>
      <c r="CT65" s="291">
        <v>85</v>
      </c>
      <c r="CU65" s="262">
        <v>89</v>
      </c>
      <c r="CV65" s="249">
        <v>110</v>
      </c>
      <c r="CW65" s="249"/>
      <c r="CX65" s="291"/>
    </row>
    <row r="66" spans="1:119" s="1" customFormat="1" x14ac:dyDescent="0.25">
      <c r="A66" s="306"/>
      <c r="B66" s="290" t="s">
        <v>54</v>
      </c>
      <c r="C66" s="66">
        <f>+C65+C64</f>
        <v>8031</v>
      </c>
      <c r="D66" s="66">
        <f t="shared" ref="D66:BN66" si="137">+D65+D64</f>
        <v>8503</v>
      </c>
      <c r="E66" s="66">
        <f t="shared" si="137"/>
        <v>9003</v>
      </c>
      <c r="F66" s="66">
        <f t="shared" si="137"/>
        <v>9114</v>
      </c>
      <c r="G66" s="66">
        <f t="shared" si="137"/>
        <v>9268</v>
      </c>
      <c r="H66" s="66">
        <f t="shared" si="137"/>
        <v>8079</v>
      </c>
      <c r="I66" s="66">
        <f t="shared" si="137"/>
        <v>8163</v>
      </c>
      <c r="J66" s="66">
        <f t="shared" si="137"/>
        <v>8244</v>
      </c>
      <c r="K66" s="66">
        <f t="shared" si="137"/>
        <v>7803</v>
      </c>
      <c r="L66" s="66">
        <f t="shared" si="137"/>
        <v>8063</v>
      </c>
      <c r="M66" s="66">
        <f t="shared" si="137"/>
        <v>8293</v>
      </c>
      <c r="N66" s="66">
        <f t="shared" si="137"/>
        <v>8727</v>
      </c>
      <c r="O66" s="66">
        <f t="shared" si="137"/>
        <v>8223</v>
      </c>
      <c r="P66" s="66">
        <f t="shared" si="137"/>
        <v>7015</v>
      </c>
      <c r="Q66" s="66">
        <f t="shared" si="137"/>
        <v>6792</v>
      </c>
      <c r="R66" s="66">
        <f t="shared" si="137"/>
        <v>7857</v>
      </c>
      <c r="S66" s="66">
        <f t="shared" si="137"/>
        <v>6440</v>
      </c>
      <c r="T66" s="66">
        <f t="shared" si="137"/>
        <v>7340</v>
      </c>
      <c r="U66" s="66">
        <f t="shared" si="137"/>
        <v>7549</v>
      </c>
      <c r="V66" s="66">
        <f t="shared" si="137"/>
        <v>7172</v>
      </c>
      <c r="W66" s="66">
        <f t="shared" si="137"/>
        <v>6843</v>
      </c>
      <c r="X66" s="66">
        <f t="shared" si="137"/>
        <v>7141</v>
      </c>
      <c r="Y66" s="66">
        <f t="shared" si="137"/>
        <v>7319</v>
      </c>
      <c r="Z66" s="66">
        <f t="shared" si="137"/>
        <v>7179</v>
      </c>
      <c r="AA66" s="63">
        <f t="shared" si="137"/>
        <v>5458</v>
      </c>
      <c r="AB66" s="63">
        <f t="shared" si="137"/>
        <v>5577</v>
      </c>
      <c r="AC66" s="63">
        <f t="shared" si="137"/>
        <v>4871</v>
      </c>
      <c r="AD66" s="63">
        <f t="shared" si="137"/>
        <v>4717</v>
      </c>
      <c r="AE66" s="63">
        <f t="shared" si="137"/>
        <v>5406</v>
      </c>
      <c r="AF66" s="63">
        <f t="shared" si="137"/>
        <v>5004</v>
      </c>
      <c r="AG66" s="63">
        <f t="shared" si="137"/>
        <v>5024</v>
      </c>
      <c r="AH66" s="63">
        <f t="shared" si="137"/>
        <v>4887</v>
      </c>
      <c r="AI66" s="63">
        <f t="shared" si="137"/>
        <v>3344</v>
      </c>
      <c r="AJ66" s="63">
        <f t="shared" si="137"/>
        <v>4369</v>
      </c>
      <c r="AK66" s="63">
        <f t="shared" si="137"/>
        <v>4041</v>
      </c>
      <c r="AL66" s="63">
        <f t="shared" si="137"/>
        <v>3921</v>
      </c>
      <c r="AM66" s="63">
        <f t="shared" si="137"/>
        <v>3699</v>
      </c>
      <c r="AN66" s="63">
        <f t="shared" si="137"/>
        <v>4258</v>
      </c>
      <c r="AO66" s="63">
        <f t="shared" si="137"/>
        <v>4340</v>
      </c>
      <c r="AP66" s="63">
        <f t="shared" si="137"/>
        <v>4158</v>
      </c>
      <c r="AQ66" s="63">
        <f t="shared" si="137"/>
        <v>3622</v>
      </c>
      <c r="AR66" s="63">
        <f t="shared" si="137"/>
        <v>4370</v>
      </c>
      <c r="AS66" s="63">
        <f t="shared" si="137"/>
        <v>4418</v>
      </c>
      <c r="AT66" s="63">
        <f t="shared" si="137"/>
        <v>2940</v>
      </c>
      <c r="AU66" s="63">
        <f t="shared" si="137"/>
        <v>3517</v>
      </c>
      <c r="AV66" s="63">
        <f t="shared" si="137"/>
        <v>4301</v>
      </c>
      <c r="AW66" s="63">
        <f t="shared" si="137"/>
        <v>4044</v>
      </c>
      <c r="AX66" s="63">
        <f t="shared" si="137"/>
        <v>4115</v>
      </c>
      <c r="AY66" s="62">
        <f t="shared" si="137"/>
        <v>3895</v>
      </c>
      <c r="AZ66" s="63">
        <f t="shared" si="137"/>
        <v>4312</v>
      </c>
      <c r="BA66" s="63">
        <f t="shared" si="137"/>
        <v>4108</v>
      </c>
      <c r="BB66" s="64">
        <f t="shared" si="137"/>
        <v>4723</v>
      </c>
      <c r="BC66" s="65">
        <f t="shared" si="137"/>
        <v>2708</v>
      </c>
      <c r="BD66" s="66">
        <f t="shared" si="137"/>
        <v>3889</v>
      </c>
      <c r="BE66" s="66">
        <f t="shared" si="137"/>
        <v>3487</v>
      </c>
      <c r="BF66" s="67">
        <f t="shared" si="137"/>
        <v>3984</v>
      </c>
      <c r="BG66" s="65">
        <f t="shared" si="137"/>
        <v>3557</v>
      </c>
      <c r="BH66" s="66">
        <f t="shared" si="137"/>
        <v>3831</v>
      </c>
      <c r="BI66" s="66">
        <f t="shared" si="137"/>
        <v>3978</v>
      </c>
      <c r="BJ66" s="66">
        <f t="shared" si="137"/>
        <v>3844</v>
      </c>
      <c r="BK66" s="109">
        <f t="shared" si="137"/>
        <v>3576</v>
      </c>
      <c r="BL66" s="110">
        <f t="shared" si="137"/>
        <v>4050</v>
      </c>
      <c r="BM66" s="110">
        <f t="shared" si="137"/>
        <v>4527</v>
      </c>
      <c r="BN66" s="111">
        <f t="shared" si="137"/>
        <v>4279</v>
      </c>
      <c r="BO66" s="109">
        <f t="shared" ref="BO66:BV66" si="138">+BO65+BO64</f>
        <v>3847</v>
      </c>
      <c r="BP66" s="110">
        <f t="shared" si="138"/>
        <v>4058</v>
      </c>
      <c r="BQ66" s="110">
        <f t="shared" si="138"/>
        <v>3945</v>
      </c>
      <c r="BR66" s="110">
        <f t="shared" si="138"/>
        <v>3403</v>
      </c>
      <c r="BS66" s="109">
        <f t="shared" si="138"/>
        <v>2110</v>
      </c>
      <c r="BT66" s="110">
        <f t="shared" si="138"/>
        <v>2740</v>
      </c>
      <c r="BU66" s="110">
        <f t="shared" si="138"/>
        <v>2960</v>
      </c>
      <c r="BV66" s="111">
        <f t="shared" si="138"/>
        <v>3053</v>
      </c>
      <c r="BW66" s="110">
        <f t="shared" ref="BW66:BX66" si="139">+BW65+BW64</f>
        <v>2398</v>
      </c>
      <c r="BX66" s="110">
        <f t="shared" si="139"/>
        <v>2055</v>
      </c>
      <c r="BY66" s="110">
        <f t="shared" ref="BY66:BZ66" si="140">+BY65+BY64</f>
        <v>3338</v>
      </c>
      <c r="BZ66" s="110">
        <f t="shared" si="140"/>
        <v>3157</v>
      </c>
      <c r="CA66" s="109">
        <f t="shared" ref="CA66:CB66" si="141">+CA65+CA64</f>
        <v>2497</v>
      </c>
      <c r="CB66" s="110">
        <f t="shared" si="141"/>
        <v>2856</v>
      </c>
      <c r="CC66" s="110">
        <f t="shared" ref="CC66:CF66" si="142">+CC65+CC64</f>
        <v>3054</v>
      </c>
      <c r="CD66" s="111">
        <f t="shared" si="142"/>
        <v>2529</v>
      </c>
      <c r="CE66" s="109">
        <f t="shared" si="142"/>
        <v>1185</v>
      </c>
      <c r="CF66" s="110">
        <f t="shared" si="142"/>
        <v>31</v>
      </c>
      <c r="CG66" s="110">
        <f t="shared" ref="CG66:CJ66" si="143">+CG65+CG64</f>
        <v>1583</v>
      </c>
      <c r="CH66" s="111">
        <f t="shared" si="143"/>
        <v>2121</v>
      </c>
      <c r="CI66" s="109">
        <f t="shared" si="143"/>
        <v>1732</v>
      </c>
      <c r="CJ66" s="110">
        <f t="shared" si="143"/>
        <v>2054</v>
      </c>
      <c r="CK66" s="110">
        <f t="shared" ref="CK66:CP66" si="144">+CK65+CK64</f>
        <v>2116</v>
      </c>
      <c r="CL66" s="111">
        <f t="shared" si="144"/>
        <v>1531</v>
      </c>
      <c r="CM66" s="109">
        <f t="shared" si="144"/>
        <v>1135</v>
      </c>
      <c r="CN66" s="110">
        <f t="shared" si="144"/>
        <v>1190</v>
      </c>
      <c r="CO66" s="110">
        <f t="shared" si="144"/>
        <v>1191</v>
      </c>
      <c r="CP66" s="111">
        <f t="shared" si="144"/>
        <v>1376</v>
      </c>
      <c r="CQ66" s="109">
        <f t="shared" ref="CQ66:CT66" si="145">+CQ65+CQ64</f>
        <v>822</v>
      </c>
      <c r="CR66" s="110">
        <f t="shared" si="145"/>
        <v>923</v>
      </c>
      <c r="CS66" s="110">
        <f t="shared" si="145"/>
        <v>928</v>
      </c>
      <c r="CT66" s="111">
        <f t="shared" si="145"/>
        <v>701</v>
      </c>
      <c r="CU66" s="109">
        <f t="shared" ref="CU66:CX66" si="146">+CU65+CU64</f>
        <v>728</v>
      </c>
      <c r="CV66" s="110">
        <f t="shared" si="146"/>
        <v>691</v>
      </c>
      <c r="CW66" s="110">
        <f t="shared" si="146"/>
        <v>0</v>
      </c>
      <c r="CX66" s="111">
        <f t="shared" si="146"/>
        <v>0</v>
      </c>
      <c r="CY66" s="347"/>
      <c r="CZ66" s="347"/>
      <c r="DA66" s="347"/>
      <c r="DB66" s="347"/>
      <c r="DC66" s="347"/>
      <c r="DD66" s="347"/>
      <c r="DE66" s="347"/>
      <c r="DF66" s="347"/>
      <c r="DG66" s="347"/>
      <c r="DH66" s="347"/>
      <c r="DI66" s="347"/>
      <c r="DJ66" s="347"/>
      <c r="DK66" s="347"/>
      <c r="DL66" s="347"/>
      <c r="DM66" s="347"/>
      <c r="DN66" s="347"/>
      <c r="DO66" s="347"/>
    </row>
    <row r="67" spans="1:119" x14ac:dyDescent="0.25">
      <c r="A67" s="225"/>
      <c r="B67" s="292" t="s">
        <v>124</v>
      </c>
      <c r="C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167" t="s">
        <v>58</v>
      </c>
      <c r="AY67" s="10"/>
      <c r="AZ67" s="8"/>
      <c r="BA67" s="8"/>
      <c r="BB67" s="9"/>
      <c r="BC67" s="34"/>
      <c r="BD67" s="32"/>
      <c r="BE67" s="32"/>
      <c r="BF67" s="33"/>
      <c r="BG67" s="34"/>
      <c r="BH67" s="32"/>
      <c r="BI67" s="8"/>
      <c r="BK67" s="225"/>
      <c r="BL67" s="208"/>
      <c r="BM67" s="208"/>
      <c r="BN67" s="227"/>
      <c r="BO67" s="225"/>
      <c r="BP67" s="208"/>
      <c r="BQ67" s="208"/>
      <c r="BR67" s="208"/>
      <c r="BS67" s="225"/>
      <c r="BT67" s="208"/>
      <c r="BU67" s="208"/>
      <c r="BV67" s="227"/>
      <c r="BW67" s="208"/>
      <c r="BX67" s="208"/>
      <c r="BY67" s="208"/>
      <c r="BZ67" s="208"/>
      <c r="CA67" s="225"/>
      <c r="CB67" s="208"/>
      <c r="CC67" s="208"/>
      <c r="CD67" s="227"/>
      <c r="CE67" s="225"/>
      <c r="CF67" s="208"/>
      <c r="CG67" s="208"/>
      <c r="CH67" s="227"/>
      <c r="CI67" s="225"/>
      <c r="CJ67" s="208"/>
      <c r="CK67" s="208"/>
      <c r="CL67" s="227"/>
      <c r="CM67" s="225"/>
      <c r="CN67" s="208"/>
      <c r="CO67" s="208"/>
      <c r="CP67" s="227"/>
      <c r="CQ67" s="225"/>
      <c r="CR67" s="208"/>
      <c r="CS67" s="208"/>
      <c r="CT67" s="227"/>
      <c r="CU67" s="225"/>
      <c r="CV67" s="208"/>
      <c r="CW67" s="208"/>
      <c r="CX67" s="227"/>
    </row>
    <row r="68" spans="1:119" x14ac:dyDescent="0.25">
      <c r="A68" s="225"/>
      <c r="B68" s="227" t="s">
        <v>52</v>
      </c>
      <c r="C68" s="32">
        <v>706</v>
      </c>
      <c r="D68" s="32">
        <v>644</v>
      </c>
      <c r="E68" s="32">
        <v>634</v>
      </c>
      <c r="F68" s="32">
        <v>620</v>
      </c>
      <c r="G68" s="32">
        <v>580</v>
      </c>
      <c r="H68" s="32">
        <v>592</v>
      </c>
      <c r="I68" s="32">
        <v>651</v>
      </c>
      <c r="J68" s="32">
        <v>685</v>
      </c>
      <c r="K68" s="32">
        <v>790</v>
      </c>
      <c r="L68" s="32">
        <v>731</v>
      </c>
      <c r="M68" s="32">
        <v>687</v>
      </c>
      <c r="N68" s="32">
        <v>678</v>
      </c>
      <c r="O68" s="32">
        <v>737</v>
      </c>
      <c r="P68" s="32">
        <v>741</v>
      </c>
      <c r="Q68" s="32">
        <v>805</v>
      </c>
      <c r="R68" s="32">
        <v>729</v>
      </c>
      <c r="S68" s="32">
        <v>827</v>
      </c>
      <c r="T68" s="32">
        <v>802</v>
      </c>
      <c r="U68" s="32">
        <v>711</v>
      </c>
      <c r="V68" s="32">
        <v>696</v>
      </c>
      <c r="W68" s="32">
        <v>748</v>
      </c>
      <c r="X68" s="32">
        <v>754</v>
      </c>
      <c r="Y68" s="32">
        <v>732</v>
      </c>
      <c r="Z68" s="32">
        <v>808</v>
      </c>
      <c r="AA68" s="8">
        <v>1206</v>
      </c>
      <c r="AB68" s="8">
        <v>970</v>
      </c>
      <c r="AC68" s="8">
        <v>1241</v>
      </c>
      <c r="AD68" s="8">
        <v>1233</v>
      </c>
      <c r="AE68" s="8">
        <v>1380</v>
      </c>
      <c r="AF68" s="8">
        <v>1178</v>
      </c>
      <c r="AG68" s="8">
        <v>1170</v>
      </c>
      <c r="AH68" s="8">
        <v>1378</v>
      </c>
      <c r="AI68" s="8">
        <v>1770</v>
      </c>
      <c r="AJ68" s="8">
        <v>1408</v>
      </c>
      <c r="AK68" s="8">
        <v>1512</v>
      </c>
      <c r="AL68" s="8">
        <v>1469</v>
      </c>
      <c r="AM68" s="8">
        <v>1534</v>
      </c>
      <c r="AN68" s="8">
        <v>1440</v>
      </c>
      <c r="AO68" s="8">
        <v>1502</v>
      </c>
      <c r="AP68" s="8">
        <v>1480</v>
      </c>
      <c r="AQ68" s="8">
        <v>1972</v>
      </c>
      <c r="AR68" s="8">
        <v>1799</v>
      </c>
      <c r="AS68" s="8">
        <v>1976</v>
      </c>
      <c r="AT68" s="8">
        <v>2234</v>
      </c>
      <c r="AU68" s="8">
        <v>2088</v>
      </c>
      <c r="AV68" s="8">
        <v>1888</v>
      </c>
      <c r="AW68" s="8">
        <v>2032</v>
      </c>
      <c r="AX68" s="8">
        <v>1962</v>
      </c>
      <c r="AY68" s="10">
        <v>2031</v>
      </c>
      <c r="AZ68" s="8">
        <v>2017</v>
      </c>
      <c r="BA68" s="8">
        <v>2186</v>
      </c>
      <c r="BB68" s="9">
        <v>2013</v>
      </c>
      <c r="BC68" s="34">
        <v>2436</v>
      </c>
      <c r="BD68" s="32">
        <v>2247</v>
      </c>
      <c r="BE68" s="32">
        <v>2383</v>
      </c>
      <c r="BF68" s="33">
        <v>2002</v>
      </c>
      <c r="BG68" s="34">
        <v>2592</v>
      </c>
      <c r="BH68" s="32">
        <v>2363</v>
      </c>
      <c r="BI68" s="8">
        <v>2207</v>
      </c>
      <c r="BJ68" s="32">
        <v>2090</v>
      </c>
      <c r="BK68" s="213">
        <v>2375</v>
      </c>
      <c r="BL68" s="214">
        <v>2276</v>
      </c>
      <c r="BM68" s="214">
        <v>2337</v>
      </c>
      <c r="BN68" s="259">
        <v>2388</v>
      </c>
      <c r="BO68" s="213">
        <v>2668</v>
      </c>
      <c r="BP68" s="214">
        <v>2878</v>
      </c>
      <c r="BQ68" s="214">
        <v>2963</v>
      </c>
      <c r="BR68" s="214">
        <v>3331</v>
      </c>
      <c r="BS68" s="213">
        <v>6649</v>
      </c>
      <c r="BT68" s="214">
        <v>4553</v>
      </c>
      <c r="BU68" s="214">
        <v>3221</v>
      </c>
      <c r="BV68" s="259">
        <v>3050</v>
      </c>
      <c r="BW68" s="214">
        <v>3489</v>
      </c>
      <c r="BX68" s="214">
        <v>6513</v>
      </c>
      <c r="BY68" s="214">
        <v>3626</v>
      </c>
      <c r="BZ68" s="214">
        <v>3181</v>
      </c>
      <c r="CA68" s="213">
        <v>3716</v>
      </c>
      <c r="CB68" s="214">
        <v>3656</v>
      </c>
      <c r="CC68" s="214">
        <v>3907</v>
      </c>
      <c r="CD68" s="259">
        <v>3787</v>
      </c>
      <c r="CE68" s="213">
        <v>5637</v>
      </c>
      <c r="CF68" s="214">
        <v>0</v>
      </c>
      <c r="CG68" s="214">
        <v>5388</v>
      </c>
      <c r="CH68" s="259">
        <v>4340</v>
      </c>
      <c r="CI68" s="213">
        <v>4951</v>
      </c>
      <c r="CJ68" s="214">
        <v>4964</v>
      </c>
      <c r="CK68" s="214">
        <v>5277</v>
      </c>
      <c r="CL68" s="259">
        <v>6117</v>
      </c>
      <c r="CM68" s="213">
        <v>5017</v>
      </c>
      <c r="CN68" s="214">
        <v>5307</v>
      </c>
      <c r="CO68" s="214">
        <v>5063</v>
      </c>
      <c r="CP68" s="259">
        <v>4534</v>
      </c>
      <c r="CQ68" s="213">
        <v>6798</v>
      </c>
      <c r="CR68" s="214">
        <v>7801</v>
      </c>
      <c r="CS68" s="214">
        <v>6435</v>
      </c>
      <c r="CT68" s="259">
        <v>6493</v>
      </c>
      <c r="CU68" s="213">
        <v>8325</v>
      </c>
      <c r="CV68" s="214">
        <v>9914</v>
      </c>
      <c r="CW68" s="214"/>
      <c r="CX68" s="259"/>
    </row>
    <row r="69" spans="1:119" x14ac:dyDescent="0.25">
      <c r="A69" s="225"/>
      <c r="B69" s="227" t="s">
        <v>53</v>
      </c>
      <c r="C69" s="32">
        <v>55</v>
      </c>
      <c r="D69" s="32">
        <v>41</v>
      </c>
      <c r="E69" s="32">
        <v>59</v>
      </c>
      <c r="F69" s="32">
        <v>72</v>
      </c>
      <c r="G69" s="32">
        <v>71</v>
      </c>
      <c r="H69" s="32">
        <v>63</v>
      </c>
      <c r="I69" s="32">
        <v>65</v>
      </c>
      <c r="J69" s="32">
        <v>56</v>
      </c>
      <c r="K69" s="32">
        <v>59</v>
      </c>
      <c r="L69" s="32">
        <v>55</v>
      </c>
      <c r="M69" s="32">
        <v>66</v>
      </c>
      <c r="N69" s="32">
        <v>66</v>
      </c>
      <c r="O69" s="32">
        <v>63</v>
      </c>
      <c r="P69" s="32">
        <v>106</v>
      </c>
      <c r="Q69" s="32">
        <v>70</v>
      </c>
      <c r="R69" s="32">
        <v>103</v>
      </c>
      <c r="S69" s="32">
        <v>79</v>
      </c>
      <c r="T69" s="32">
        <v>24</v>
      </c>
      <c r="U69" s="32">
        <v>72</v>
      </c>
      <c r="V69" s="32">
        <v>86</v>
      </c>
      <c r="W69" s="32">
        <v>101</v>
      </c>
      <c r="X69" s="32">
        <v>79</v>
      </c>
      <c r="Y69" s="32">
        <v>72</v>
      </c>
      <c r="Z69" s="32">
        <v>64</v>
      </c>
      <c r="AA69" s="8">
        <v>63</v>
      </c>
      <c r="AB69" s="8">
        <v>59</v>
      </c>
      <c r="AC69" s="8">
        <v>100</v>
      </c>
      <c r="AD69" s="8">
        <v>103</v>
      </c>
      <c r="AE69" s="8">
        <v>92</v>
      </c>
      <c r="AF69" s="8">
        <v>45</v>
      </c>
      <c r="AG69" s="8">
        <v>43</v>
      </c>
      <c r="AH69" s="8">
        <v>43</v>
      </c>
      <c r="AI69" s="8">
        <v>47</v>
      </c>
      <c r="AJ69" s="8">
        <v>70</v>
      </c>
      <c r="AK69" s="8">
        <v>72</v>
      </c>
      <c r="AL69" s="8">
        <v>53</v>
      </c>
      <c r="AM69" s="8">
        <v>86</v>
      </c>
      <c r="AN69" s="8">
        <v>102</v>
      </c>
      <c r="AO69" s="8">
        <v>81</v>
      </c>
      <c r="AP69" s="8">
        <v>114</v>
      </c>
      <c r="AQ69" s="8">
        <v>128</v>
      </c>
      <c r="AR69" s="8">
        <v>144</v>
      </c>
      <c r="AS69" s="8">
        <v>175</v>
      </c>
      <c r="AT69" s="8">
        <v>191</v>
      </c>
      <c r="AU69" s="8">
        <v>140</v>
      </c>
      <c r="AV69" s="8">
        <v>162</v>
      </c>
      <c r="AW69" s="8">
        <v>153</v>
      </c>
      <c r="AX69" s="8">
        <v>130</v>
      </c>
      <c r="AY69" s="10">
        <v>147</v>
      </c>
      <c r="AZ69" s="8">
        <v>142</v>
      </c>
      <c r="BA69" s="8">
        <v>186</v>
      </c>
      <c r="BB69" s="9">
        <v>156</v>
      </c>
      <c r="BC69" s="34">
        <v>164</v>
      </c>
      <c r="BD69" s="32">
        <v>162</v>
      </c>
      <c r="BE69" s="32">
        <v>163</v>
      </c>
      <c r="BF69" s="33">
        <v>156</v>
      </c>
      <c r="BG69" s="34">
        <v>163</v>
      </c>
      <c r="BH69" s="32">
        <v>179</v>
      </c>
      <c r="BI69" s="8">
        <v>164</v>
      </c>
      <c r="BJ69" s="32">
        <v>147</v>
      </c>
      <c r="BK69" s="213">
        <v>182</v>
      </c>
      <c r="BL69" s="214">
        <v>180</v>
      </c>
      <c r="BM69" s="214">
        <v>186</v>
      </c>
      <c r="BN69" s="259">
        <v>182</v>
      </c>
      <c r="BO69" s="213">
        <v>182</v>
      </c>
      <c r="BP69" s="214">
        <v>194</v>
      </c>
      <c r="BQ69" s="214">
        <v>209</v>
      </c>
      <c r="BR69" s="214">
        <v>174</v>
      </c>
      <c r="BS69" s="213">
        <v>176</v>
      </c>
      <c r="BT69" s="214">
        <v>191</v>
      </c>
      <c r="BU69" s="214">
        <v>216</v>
      </c>
      <c r="BV69" s="259">
        <v>193</v>
      </c>
      <c r="BW69" s="214">
        <v>199</v>
      </c>
      <c r="BX69" s="214">
        <v>201</v>
      </c>
      <c r="BY69" s="214">
        <v>19</v>
      </c>
      <c r="BZ69" s="214">
        <v>173</v>
      </c>
      <c r="CA69" s="213">
        <v>196</v>
      </c>
      <c r="CB69" s="214">
        <v>227</v>
      </c>
      <c r="CC69" s="214">
        <v>251</v>
      </c>
      <c r="CD69" s="259">
        <v>148</v>
      </c>
      <c r="CE69" s="213">
        <v>254</v>
      </c>
      <c r="CF69" s="214">
        <v>1825</v>
      </c>
      <c r="CG69" s="214">
        <v>305</v>
      </c>
      <c r="CH69" s="259">
        <v>257</v>
      </c>
      <c r="CI69" s="213">
        <v>301</v>
      </c>
      <c r="CJ69" s="214">
        <v>384</v>
      </c>
      <c r="CK69" s="214">
        <v>397</v>
      </c>
      <c r="CL69" s="259">
        <v>349</v>
      </c>
      <c r="CM69" s="213">
        <v>406</v>
      </c>
      <c r="CN69" s="214">
        <v>374</v>
      </c>
      <c r="CO69" s="214">
        <v>433</v>
      </c>
      <c r="CP69" s="259">
        <v>384</v>
      </c>
      <c r="CQ69" s="213">
        <v>521</v>
      </c>
      <c r="CR69" s="214">
        <v>323</v>
      </c>
      <c r="CS69" s="214">
        <v>282</v>
      </c>
      <c r="CT69" s="259">
        <v>253</v>
      </c>
      <c r="CU69" s="213">
        <v>938</v>
      </c>
      <c r="CV69" s="214">
        <v>1040</v>
      </c>
      <c r="CW69" s="214"/>
      <c r="CX69" s="259"/>
    </row>
    <row r="70" spans="1:119" s="1" customFormat="1" x14ac:dyDescent="0.25">
      <c r="A70" s="306"/>
      <c r="B70" s="290" t="s">
        <v>54</v>
      </c>
      <c r="C70" s="66">
        <f>+((C68*C56)+(C69*C57))/(C58)-13</f>
        <v>466.79512635379064</v>
      </c>
      <c r="D70" s="66">
        <f>+((D68*D56)+(D69*D57))/(D58)-13</f>
        <v>425.89125102207686</v>
      </c>
      <c r="E70" s="66">
        <f>+((E68*E56)+(E69*E57))/(E58)</f>
        <v>493.51134380453755</v>
      </c>
      <c r="F70" s="66">
        <f>+((F68*F56)+(F69*F57))/(F58)</f>
        <v>489.63272120200332</v>
      </c>
      <c r="G70" s="66">
        <f>+((G68*G56)+(G69*G57))/(G58)</f>
        <v>472.1924009700889</v>
      </c>
      <c r="H70" s="66">
        <f>+((H68*H56)+(H69*H57))/(H58)+1</f>
        <v>473.48050914876688</v>
      </c>
      <c r="I70" s="66">
        <f>+((I68*I56)+(I69*I57))/(I58)+1</f>
        <v>521.36006415396957</v>
      </c>
      <c r="J70" s="66">
        <f>+((J68*J56)+(J69*J57))/(J58)</f>
        <v>507.17523364485982</v>
      </c>
      <c r="K70" s="66">
        <f>+((K68*K56)+(K69*K57))/(K58)</f>
        <v>502.24694376528117</v>
      </c>
      <c r="L70" s="66">
        <f>+((L68*L56)+(L69*L57))/(L58)+1</f>
        <v>507.40244897959184</v>
      </c>
      <c r="M70" s="66">
        <f>+((M68*M56)+(M69*M57))/(M58)</f>
        <v>504.99126290706909</v>
      </c>
      <c r="N70" s="66">
        <f>+((N68*N56)+(N69*N57))/(N58)</f>
        <v>509.04</v>
      </c>
      <c r="O70" s="66">
        <f>+((O68*O56)+(O69*O57))/(O58)</f>
        <v>519.7054963084496</v>
      </c>
      <c r="P70" s="66">
        <f>+((P68*P56)+(P69*P57))/(P58)</f>
        <v>691.72062084257209</v>
      </c>
      <c r="Q70" s="66">
        <f>+((Q68*Q56)+(Q69*Q57))/(Q58)</f>
        <v>714.28</v>
      </c>
      <c r="R70" s="66">
        <f>+((R68*R56)+(R69*R57))/(R58)-1</f>
        <v>681.87368421052633</v>
      </c>
      <c r="S70" s="66">
        <f>+((S68*S56)+(S69*S57))/(S58)</f>
        <v>724.79976442873965</v>
      </c>
      <c r="T70" s="66">
        <f>+((T68*T56)+(T69*T57))/(T58)</f>
        <v>671.81048387096769</v>
      </c>
      <c r="U70" s="66">
        <f>+((U68*U56)+(U69*U57))/(U58)-1</f>
        <v>619.81854838709683</v>
      </c>
      <c r="V70" s="66">
        <f t="shared" ref="V70:AR70" si="147">+((V68*V56)+(V69*V57))/(V58)</f>
        <v>638.46450304259633</v>
      </c>
      <c r="W70" s="66">
        <f t="shared" si="147"/>
        <v>699.47500000000002</v>
      </c>
      <c r="X70" s="66">
        <f t="shared" si="147"/>
        <v>695.99785177228785</v>
      </c>
      <c r="Y70" s="66">
        <f t="shared" si="147"/>
        <v>664.93762575452718</v>
      </c>
      <c r="Z70" s="66">
        <f t="shared" si="147"/>
        <v>683.26190476190482</v>
      </c>
      <c r="AA70" s="63">
        <f t="shared" si="147"/>
        <v>800.00866336633658</v>
      </c>
      <c r="AB70" s="63">
        <f t="shared" si="147"/>
        <v>607.35345581802278</v>
      </c>
      <c r="AC70" s="63">
        <f t="shared" si="147"/>
        <v>808.57157569515959</v>
      </c>
      <c r="AD70" s="63">
        <f t="shared" si="147"/>
        <v>1006.4114583333334</v>
      </c>
      <c r="AE70" s="63">
        <f t="shared" si="147"/>
        <v>1107.0711175616836</v>
      </c>
      <c r="AF70" s="63">
        <f t="shared" si="147"/>
        <v>856.28395061728395</v>
      </c>
      <c r="AG70" s="63">
        <f t="shared" si="147"/>
        <v>814.90297790585976</v>
      </c>
      <c r="AH70" s="63">
        <f t="shared" si="147"/>
        <v>804.43522833178008</v>
      </c>
      <c r="AI70" s="63">
        <f t="shared" si="147"/>
        <v>807.93579766536971</v>
      </c>
      <c r="AJ70" s="63">
        <f t="shared" si="147"/>
        <v>762.70700086430429</v>
      </c>
      <c r="AK70" s="63">
        <f t="shared" si="147"/>
        <v>823.24773960216999</v>
      </c>
      <c r="AL70" s="63">
        <f t="shared" si="147"/>
        <v>828.20230105465009</v>
      </c>
      <c r="AM70" s="63">
        <f t="shared" si="147"/>
        <v>745.67485822306242</v>
      </c>
      <c r="AN70" s="63">
        <f t="shared" si="147"/>
        <v>787.06518010291597</v>
      </c>
      <c r="AO70" s="63">
        <f t="shared" si="147"/>
        <v>759.70382424735556</v>
      </c>
      <c r="AP70" s="63">
        <f t="shared" si="147"/>
        <v>719.87814784727868</v>
      </c>
      <c r="AQ70" s="63">
        <f t="shared" si="147"/>
        <v>823.17168141592924</v>
      </c>
      <c r="AR70" s="63">
        <f t="shared" si="147"/>
        <v>911.02590194264565</v>
      </c>
      <c r="AS70" s="63">
        <f>+((AS68*AS56)+(AS69*AS57))/(AS58)+1</f>
        <v>1036.2052529182879</v>
      </c>
      <c r="AT70" s="63">
        <f>+((AT68*AT56)+(AT69*AT57))/(AT58)</f>
        <v>1119.1957295373666</v>
      </c>
      <c r="AU70" s="63">
        <f>+((AU68*AU56)+(AU69*AU57))/(AU58)</f>
        <v>1002.7138523761375</v>
      </c>
      <c r="AV70" s="63">
        <f>+((AV68*AV56)+(AV69*AV57))/(AV58)</f>
        <v>1019.8630952380952</v>
      </c>
      <c r="AW70" s="63">
        <f>+((AW68*AW56)+(AW69*AW57))/(AW58)+1</f>
        <v>979.46648550724638</v>
      </c>
      <c r="AX70" s="63">
        <f>+((AX68*AX56)+(AX69*AX57))/(AX58)</f>
        <v>903.94652406417117</v>
      </c>
      <c r="AY70" s="62">
        <f>+((AY68*AY56)+(AY69*AY57))/(AY58)-1</f>
        <v>872.70858113848772</v>
      </c>
      <c r="AZ70" s="63">
        <f>+((AZ68*AZ56)+(AZ69*AZ57))/(AZ58)</f>
        <v>841.41597588545596</v>
      </c>
      <c r="BA70" s="63">
        <f>+((BA68*BA56)+(BA69*BA57))/(BA58)</f>
        <v>1112.9662921348315</v>
      </c>
      <c r="BB70" s="64">
        <f>+((BB68*BB56)+(BB69*BB57))/(BB58)-1</f>
        <v>1080.9232192414431</v>
      </c>
      <c r="BC70" s="65">
        <f>+((BC68*BC56)+(BC69*BC57))/(BC58)-1</f>
        <v>1190.5126234906695</v>
      </c>
      <c r="BD70" s="66">
        <f>+((BD68*BD56)+(BD69*BD57))/(BD58)</f>
        <v>1204.5</v>
      </c>
      <c r="BE70" s="66">
        <f>+((BE68*BE56)+(BE69*BE57))/(BE58)</f>
        <v>1278.5778894472362</v>
      </c>
      <c r="BF70" s="67">
        <f>+((BF68*BF56)+(BF69*BF57))/(BF58)</f>
        <v>1133.5999999999999</v>
      </c>
      <c r="BG70" s="65">
        <f>+((BG68*BG56)+(BG69*BG57))/(BG58)</f>
        <v>1198.9661508704062</v>
      </c>
      <c r="BH70" s="66">
        <f>+((BH68*BH56)+(BH69*BH57))/(BH58)</f>
        <v>1169.1864716636198</v>
      </c>
      <c r="BI70" s="63">
        <v>1077</v>
      </c>
      <c r="BJ70" s="1">
        <v>916</v>
      </c>
      <c r="BK70" s="109">
        <v>1023</v>
      </c>
      <c r="BL70" s="110">
        <v>1001</v>
      </c>
      <c r="BM70" s="110">
        <v>1005</v>
      </c>
      <c r="BN70" s="111">
        <v>974</v>
      </c>
      <c r="BO70" s="109">
        <v>947</v>
      </c>
      <c r="BP70" s="110">
        <v>806</v>
      </c>
      <c r="BQ70" s="110">
        <v>889</v>
      </c>
      <c r="BR70" s="110">
        <v>978</v>
      </c>
      <c r="BS70" s="109">
        <v>853</v>
      </c>
      <c r="BT70" s="110">
        <v>897</v>
      </c>
      <c r="BU70" s="110">
        <v>1039</v>
      </c>
      <c r="BV70" s="111">
        <v>974</v>
      </c>
      <c r="BW70" s="110">
        <v>1120</v>
      </c>
      <c r="BX70" s="110">
        <v>1006</v>
      </c>
      <c r="BY70" s="110">
        <v>1034</v>
      </c>
      <c r="BZ70" s="110">
        <v>934</v>
      </c>
      <c r="CA70" s="109">
        <v>1054</v>
      </c>
      <c r="CB70" s="110">
        <v>1267</v>
      </c>
      <c r="CC70" s="110">
        <v>1588</v>
      </c>
      <c r="CD70" s="111">
        <v>1428</v>
      </c>
      <c r="CE70" s="109">
        <v>1821</v>
      </c>
      <c r="CF70" s="110">
        <v>26925</v>
      </c>
      <c r="CG70" s="110">
        <v>2091</v>
      </c>
      <c r="CH70" s="111">
        <v>1782</v>
      </c>
      <c r="CI70" s="109">
        <v>2714</v>
      </c>
      <c r="CJ70" s="110">
        <v>2858</v>
      </c>
      <c r="CK70" s="110">
        <v>2503</v>
      </c>
      <c r="CL70" s="111">
        <v>2680</v>
      </c>
      <c r="CM70" s="109">
        <v>2479</v>
      </c>
      <c r="CN70" s="110">
        <v>2286</v>
      </c>
      <c r="CO70" s="110">
        <v>2570</v>
      </c>
      <c r="CP70" s="111">
        <v>2695</v>
      </c>
      <c r="CQ70" s="109">
        <v>3632</v>
      </c>
      <c r="CR70" s="110">
        <v>4758</v>
      </c>
      <c r="CS70" s="110">
        <v>4967</v>
      </c>
      <c r="CT70" s="111">
        <v>5139</v>
      </c>
      <c r="CU70" s="109">
        <v>4914</v>
      </c>
      <c r="CV70" s="110">
        <v>5176</v>
      </c>
      <c r="CW70" s="110"/>
      <c r="CX70" s="111"/>
      <c r="CY70" s="347"/>
      <c r="CZ70" s="347"/>
      <c r="DA70" s="347"/>
      <c r="DB70" s="347"/>
      <c r="DC70" s="347"/>
      <c r="DD70" s="347"/>
      <c r="DE70" s="347"/>
      <c r="DF70" s="347"/>
      <c r="DG70" s="347"/>
      <c r="DH70" s="347"/>
      <c r="DI70" s="347"/>
      <c r="DJ70" s="347"/>
      <c r="DK70" s="347"/>
      <c r="DL70" s="347"/>
      <c r="DM70" s="347"/>
      <c r="DN70" s="347"/>
      <c r="DO70" s="347"/>
    </row>
    <row r="71" spans="1:119" x14ac:dyDescent="0.25">
      <c r="A71" s="225"/>
      <c r="B71" s="292" t="s">
        <v>134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10"/>
      <c r="AZ71" s="8"/>
      <c r="BA71" s="8"/>
      <c r="BB71" s="9"/>
      <c r="BC71" s="34"/>
      <c r="BD71" s="32"/>
      <c r="BE71" s="32"/>
      <c r="BF71" s="33"/>
      <c r="BG71" s="34"/>
      <c r="BH71" s="32"/>
      <c r="BI71" s="8"/>
      <c r="BK71" s="225"/>
      <c r="BL71" s="208"/>
      <c r="BM71" s="208"/>
      <c r="BN71" s="227"/>
      <c r="BO71" s="288"/>
      <c r="BP71" s="208"/>
      <c r="BQ71" s="208"/>
      <c r="BR71" s="208"/>
      <c r="BS71" s="225"/>
      <c r="BT71" s="208"/>
      <c r="BU71" s="208"/>
      <c r="BV71" s="227"/>
      <c r="BW71" s="208"/>
      <c r="BX71" s="208"/>
      <c r="BY71" s="208"/>
      <c r="BZ71" s="208"/>
      <c r="CA71" s="225"/>
      <c r="CB71" s="208"/>
      <c r="CC71" s="208"/>
      <c r="CD71" s="227"/>
      <c r="CE71" s="225"/>
      <c r="CF71" s="208"/>
      <c r="CG71" s="208"/>
      <c r="CH71" s="227"/>
      <c r="CI71" s="225"/>
      <c r="CJ71" s="208"/>
      <c r="CK71" s="208"/>
      <c r="CL71" s="227"/>
      <c r="CM71" s="225"/>
      <c r="CN71" s="208"/>
      <c r="CO71" s="208"/>
      <c r="CP71" s="227"/>
      <c r="CQ71" s="225"/>
      <c r="CR71" s="208"/>
      <c r="CS71" s="208"/>
      <c r="CT71" s="227"/>
      <c r="CU71" s="225"/>
      <c r="CV71" s="208"/>
      <c r="CW71" s="208"/>
      <c r="CX71" s="227"/>
    </row>
    <row r="72" spans="1:119" x14ac:dyDescent="0.25">
      <c r="A72" s="225"/>
      <c r="B72" s="227" t="s">
        <v>59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3" t="s">
        <v>60</v>
      </c>
      <c r="N72" s="2"/>
      <c r="O72" s="2"/>
      <c r="P72" s="2"/>
      <c r="Q72" s="2"/>
      <c r="R72" s="2"/>
      <c r="S72" s="2"/>
      <c r="T72" s="4"/>
      <c r="U72" s="30">
        <f>183.7-U73-U74</f>
        <v>87.899999999999991</v>
      </c>
      <c r="V72" s="30">
        <f>190.7-V73-V74</f>
        <v>96.199999999999989</v>
      </c>
      <c r="W72" s="30">
        <f>192.5-W73-W74</f>
        <v>96.5</v>
      </c>
      <c r="X72" s="30">
        <f>208.9-X73-X74</f>
        <v>92.9</v>
      </c>
      <c r="Y72" s="30">
        <f>217.5-Y73-Y74</f>
        <v>120.9</v>
      </c>
      <c r="Z72" s="30">
        <f>225.8-Z73-Z74</f>
        <v>121.70000000000002</v>
      </c>
      <c r="AA72" s="15">
        <f>212-AA73-AA74</f>
        <v>136.4</v>
      </c>
      <c r="AB72" s="15">
        <f>242.4-AB73-AB74</f>
        <v>139.5</v>
      </c>
      <c r="AC72" s="15">
        <f>238.2-AC73-AC74</f>
        <v>143.39999999999998</v>
      </c>
      <c r="AD72" s="15">
        <f>250.7-AD73-AD74</f>
        <v>126.39999999999999</v>
      </c>
      <c r="AE72" s="15">
        <f>224.3-AE73-AE74</f>
        <v>119.9</v>
      </c>
      <c r="AF72" s="15">
        <f>245.4-AF73-AF74</f>
        <v>149.10000000000002</v>
      </c>
      <c r="AG72" s="15">
        <f>244.3-AG73-AG74</f>
        <v>173.60000000000002</v>
      </c>
      <c r="AH72" s="15">
        <f>279.9-AH73-AH74</f>
        <v>175.7</v>
      </c>
      <c r="AI72" s="15">
        <f>264.6-AI73-AI74</f>
        <v>174.40000000000003</v>
      </c>
      <c r="AJ72" s="15">
        <f>315.6-AJ73-AJ74</f>
        <v>198.3</v>
      </c>
      <c r="AK72" s="15">
        <f>335.9-AK73-AK74</f>
        <v>180.2</v>
      </c>
      <c r="AL72" s="15">
        <v>188.2</v>
      </c>
      <c r="AM72" s="15">
        <v>182</v>
      </c>
      <c r="AN72" s="15">
        <v>196.6</v>
      </c>
      <c r="AO72" s="15">
        <v>200.7</v>
      </c>
      <c r="AP72" s="15">
        <v>203.5</v>
      </c>
      <c r="AQ72" s="15">
        <v>191.8</v>
      </c>
      <c r="AR72" s="15">
        <v>223.7</v>
      </c>
      <c r="AS72" s="15">
        <v>230.1</v>
      </c>
      <c r="AT72" s="15">
        <v>185.2</v>
      </c>
      <c r="AU72" s="15">
        <v>201</v>
      </c>
      <c r="AV72" s="15">
        <v>217.1</v>
      </c>
      <c r="AW72" s="15">
        <v>206.5</v>
      </c>
      <c r="AX72" s="15">
        <v>219.2</v>
      </c>
      <c r="AY72" s="14">
        <v>203.1</v>
      </c>
      <c r="AZ72" s="15">
        <v>226.2</v>
      </c>
      <c r="BA72" s="15">
        <v>223.5</v>
      </c>
      <c r="BB72" s="16">
        <v>227</v>
      </c>
      <c r="BC72" s="29">
        <v>214.5</v>
      </c>
      <c r="BD72" s="30">
        <v>203.6</v>
      </c>
      <c r="BE72" s="30">
        <v>231.5</v>
      </c>
      <c r="BF72" s="31">
        <v>191</v>
      </c>
      <c r="BG72" s="29">
        <v>195.2</v>
      </c>
      <c r="BH72" s="30">
        <v>223.3</v>
      </c>
      <c r="BI72" s="15">
        <v>262.8</v>
      </c>
      <c r="BJ72" s="30">
        <v>231.6</v>
      </c>
      <c r="BK72" s="210">
        <v>209.6</v>
      </c>
      <c r="BL72" s="221">
        <v>217.5</v>
      </c>
      <c r="BM72" s="221">
        <v>237.7</v>
      </c>
      <c r="BN72" s="222">
        <v>211.4</v>
      </c>
      <c r="BO72" s="288">
        <v>194.1</v>
      </c>
      <c r="BP72" s="221">
        <v>203.8</v>
      </c>
      <c r="BQ72" s="221">
        <v>242.6</v>
      </c>
      <c r="BR72" s="221">
        <v>199.1</v>
      </c>
      <c r="BS72" s="210">
        <v>25.3</v>
      </c>
      <c r="BT72" s="221">
        <v>123.5</v>
      </c>
      <c r="BU72" s="221">
        <v>251.1</v>
      </c>
      <c r="BV72" s="222">
        <v>190.5</v>
      </c>
      <c r="BW72" s="214">
        <v>216</v>
      </c>
      <c r="BX72" s="214">
        <v>58</v>
      </c>
      <c r="BY72" s="214">
        <v>215</v>
      </c>
      <c r="BZ72" s="214">
        <v>233</v>
      </c>
      <c r="CA72" s="213">
        <v>209</v>
      </c>
      <c r="CB72" s="214">
        <v>232</v>
      </c>
      <c r="CC72" s="214">
        <v>270</v>
      </c>
      <c r="CD72" s="259">
        <v>220</v>
      </c>
      <c r="CE72" s="213">
        <v>185</v>
      </c>
      <c r="CF72" s="214">
        <v>0</v>
      </c>
      <c r="CG72" s="214">
        <v>174</v>
      </c>
      <c r="CH72" s="259">
        <v>262</v>
      </c>
      <c r="CI72" s="213">
        <v>221</v>
      </c>
      <c r="CJ72" s="214">
        <v>249</v>
      </c>
      <c r="CK72" s="214">
        <v>246</v>
      </c>
      <c r="CL72" s="259">
        <v>196</v>
      </c>
      <c r="CM72" s="213">
        <v>205</v>
      </c>
      <c r="CN72" s="214">
        <v>240</v>
      </c>
      <c r="CO72" s="214">
        <v>240</v>
      </c>
      <c r="CP72" s="259">
        <v>247</v>
      </c>
      <c r="CQ72" s="213">
        <v>208</v>
      </c>
      <c r="CR72" s="214">
        <v>225</v>
      </c>
      <c r="CS72" s="214">
        <v>281</v>
      </c>
      <c r="CT72" s="259">
        <v>268</v>
      </c>
      <c r="CU72" s="693">
        <v>0</v>
      </c>
      <c r="CV72" s="681">
        <v>0</v>
      </c>
      <c r="CW72" s="214"/>
      <c r="CX72" s="259"/>
    </row>
    <row r="73" spans="1:119" x14ac:dyDescent="0.25">
      <c r="A73" s="225"/>
      <c r="B73" s="227" t="s">
        <v>61</v>
      </c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59" t="s">
        <v>62</v>
      </c>
      <c r="S73" s="59"/>
      <c r="T73" s="59"/>
      <c r="U73" s="59">
        <v>95.8</v>
      </c>
      <c r="V73" s="59">
        <v>94.5</v>
      </c>
      <c r="W73" s="59">
        <v>96</v>
      </c>
      <c r="X73" s="59">
        <v>116</v>
      </c>
      <c r="Y73" s="59">
        <v>96.6</v>
      </c>
      <c r="Z73" s="59">
        <v>104.1</v>
      </c>
      <c r="AA73" s="168">
        <v>75.599999999999994</v>
      </c>
      <c r="AB73" s="168">
        <f>136.1-33.2</f>
        <v>102.89999999999999</v>
      </c>
      <c r="AC73" s="168">
        <v>94.8</v>
      </c>
      <c r="AD73" s="168">
        <v>124.3</v>
      </c>
      <c r="AE73" s="168">
        <v>104.4</v>
      </c>
      <c r="AF73" s="168">
        <f>131.1-34.8</f>
        <v>96.3</v>
      </c>
      <c r="AG73" s="168">
        <v>70.7</v>
      </c>
      <c r="AH73" s="168">
        <v>104.2</v>
      </c>
      <c r="AI73" s="168">
        <v>90.2</v>
      </c>
      <c r="AJ73" s="168">
        <f>115.7+1.6</f>
        <v>117.3</v>
      </c>
      <c r="AK73" s="168">
        <v>155.69999999999999</v>
      </c>
      <c r="AL73" s="15">
        <v>117.2</v>
      </c>
      <c r="AM73" s="15">
        <v>26.5</v>
      </c>
      <c r="AN73" s="15">
        <v>67.099999999999994</v>
      </c>
      <c r="AO73" s="15">
        <v>57.9</v>
      </c>
      <c r="AP73" s="15">
        <v>117.4</v>
      </c>
      <c r="AQ73" s="15">
        <v>59.2</v>
      </c>
      <c r="AR73" s="15">
        <v>131.80000000000001</v>
      </c>
      <c r="AS73" s="15">
        <v>110.7</v>
      </c>
      <c r="AT73" s="15">
        <v>202.8</v>
      </c>
      <c r="AU73" s="15">
        <v>100.9</v>
      </c>
      <c r="AV73" s="15">
        <v>130.19999999999999</v>
      </c>
      <c r="AW73" s="15">
        <v>122</v>
      </c>
      <c r="AX73" s="15">
        <v>106.7</v>
      </c>
      <c r="AY73" s="14">
        <v>59.9</v>
      </c>
      <c r="AZ73" s="15">
        <v>66.7</v>
      </c>
      <c r="BA73" s="15">
        <v>66.8</v>
      </c>
      <c r="BB73" s="16">
        <v>162.30000000000001</v>
      </c>
      <c r="BC73" s="29">
        <v>39.1</v>
      </c>
      <c r="BD73" s="30">
        <v>72.099999999999994</v>
      </c>
      <c r="BE73" s="30">
        <v>41.6</v>
      </c>
      <c r="BF73" s="31">
        <v>72.8</v>
      </c>
      <c r="BG73" s="29">
        <v>33</v>
      </c>
      <c r="BH73" s="30">
        <v>52.9</v>
      </c>
      <c r="BI73" s="15">
        <v>59.8</v>
      </c>
      <c r="BJ73" s="30">
        <v>115.5</v>
      </c>
      <c r="BK73" s="210">
        <v>21.2</v>
      </c>
      <c r="BL73" s="221">
        <v>30.6</v>
      </c>
      <c r="BM73" s="221">
        <v>65</v>
      </c>
      <c r="BN73" s="222">
        <v>93.4</v>
      </c>
      <c r="BO73" s="210">
        <v>40.200000000000003</v>
      </c>
      <c r="BP73" s="221">
        <v>35.1</v>
      </c>
      <c r="BQ73" s="221">
        <v>64.8</v>
      </c>
      <c r="BR73" s="221">
        <v>80.400000000000006</v>
      </c>
      <c r="BS73" s="210">
        <v>14.4</v>
      </c>
      <c r="BT73" s="221">
        <f>13.2+0.1</f>
        <v>13.299999999999999</v>
      </c>
      <c r="BU73" s="221">
        <v>55.8</v>
      </c>
      <c r="BV73" s="222">
        <v>154.69999999999999</v>
      </c>
      <c r="BW73" s="214">
        <v>81</v>
      </c>
      <c r="BX73" s="214">
        <v>33</v>
      </c>
      <c r="BY73" s="214">
        <v>88</v>
      </c>
      <c r="BZ73" s="214">
        <v>190</v>
      </c>
      <c r="CA73" s="213">
        <v>58</v>
      </c>
      <c r="CB73" s="214">
        <v>79</v>
      </c>
      <c r="CC73" s="214">
        <v>128</v>
      </c>
      <c r="CD73" s="259">
        <v>223</v>
      </c>
      <c r="CE73" s="213">
        <v>94</v>
      </c>
      <c r="CF73" s="214">
        <v>58</v>
      </c>
      <c r="CG73" s="214">
        <v>150</v>
      </c>
      <c r="CH73" s="259">
        <v>153</v>
      </c>
      <c r="CI73" s="213">
        <v>70</v>
      </c>
      <c r="CJ73" s="214">
        <v>109</v>
      </c>
      <c r="CK73" s="214">
        <v>108</v>
      </c>
      <c r="CL73" s="259">
        <v>134</v>
      </c>
      <c r="CM73" s="213">
        <v>38</v>
      </c>
      <c r="CN73" s="214">
        <v>69</v>
      </c>
      <c r="CO73" s="214">
        <v>60</v>
      </c>
      <c r="CP73" s="259">
        <v>80</v>
      </c>
      <c r="CQ73" s="213">
        <v>47</v>
      </c>
      <c r="CR73" s="214">
        <v>61</v>
      </c>
      <c r="CS73" s="214">
        <v>64</v>
      </c>
      <c r="CT73" s="259">
        <v>80</v>
      </c>
      <c r="CU73" s="693">
        <v>0</v>
      </c>
      <c r="CV73" s="681">
        <v>0</v>
      </c>
      <c r="CW73" s="214"/>
      <c r="CX73" s="259"/>
    </row>
    <row r="74" spans="1:119" x14ac:dyDescent="0.25">
      <c r="A74" s="225"/>
      <c r="B74" s="227" t="s">
        <v>63</v>
      </c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15"/>
      <c r="AB74" s="15"/>
      <c r="AC74" s="15"/>
      <c r="AD74" s="15"/>
      <c r="AE74" s="15"/>
      <c r="AF74" s="15"/>
      <c r="AG74" s="15"/>
      <c r="AH74" s="15"/>
      <c r="AI74" s="15"/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4">
        <v>0</v>
      </c>
      <c r="AZ74" s="15">
        <v>0</v>
      </c>
      <c r="BA74" s="15">
        <v>0</v>
      </c>
      <c r="BB74" s="16">
        <v>0</v>
      </c>
      <c r="BC74" s="29">
        <v>0</v>
      </c>
      <c r="BD74" s="30">
        <v>1.9</v>
      </c>
      <c r="BE74" s="30">
        <v>22.1</v>
      </c>
      <c r="BF74" s="31">
        <v>39.700000000000003</v>
      </c>
      <c r="BG74" s="29">
        <v>13.2</v>
      </c>
      <c r="BH74" s="30">
        <v>22.2</v>
      </c>
      <c r="BI74" s="15">
        <v>42.7</v>
      </c>
      <c r="BJ74" s="30">
        <v>52</v>
      </c>
      <c r="BK74" s="210">
        <v>34</v>
      </c>
      <c r="BL74" s="221">
        <v>27</v>
      </c>
      <c r="BM74" s="221">
        <v>26.1</v>
      </c>
      <c r="BN74" s="222">
        <v>60</v>
      </c>
      <c r="BO74" s="210">
        <v>33.200000000000003</v>
      </c>
      <c r="BP74" s="221">
        <v>39.6</v>
      </c>
      <c r="BQ74" s="221">
        <v>29.4</v>
      </c>
      <c r="BR74" s="221">
        <v>39.700000000000003</v>
      </c>
      <c r="BS74" s="210">
        <v>0.5</v>
      </c>
      <c r="BT74" s="221">
        <v>28.5</v>
      </c>
      <c r="BU74" s="221">
        <v>37.299999999999997</v>
      </c>
      <c r="BV74" s="222">
        <v>42.6</v>
      </c>
      <c r="BW74" s="214">
        <v>31</v>
      </c>
      <c r="BX74" s="214">
        <v>17</v>
      </c>
      <c r="BY74" s="214">
        <v>36</v>
      </c>
      <c r="BZ74" s="214">
        <v>71</v>
      </c>
      <c r="CA74" s="213">
        <v>51</v>
      </c>
      <c r="CB74" s="214">
        <v>40</v>
      </c>
      <c r="CC74" s="214">
        <v>43</v>
      </c>
      <c r="CD74" s="259">
        <v>64</v>
      </c>
      <c r="CE74" s="213">
        <v>35</v>
      </c>
      <c r="CF74" s="214">
        <v>20</v>
      </c>
      <c r="CG74" s="214">
        <v>105</v>
      </c>
      <c r="CH74" s="259">
        <v>50</v>
      </c>
      <c r="CI74" s="213">
        <v>31</v>
      </c>
      <c r="CJ74" s="214">
        <v>36</v>
      </c>
      <c r="CK74" s="214">
        <v>42</v>
      </c>
      <c r="CL74" s="259">
        <v>8</v>
      </c>
      <c r="CM74" s="213"/>
      <c r="CN74" s="214"/>
      <c r="CO74" s="214"/>
      <c r="CP74" s="259"/>
      <c r="CQ74" s="213"/>
      <c r="CR74" s="214"/>
      <c r="CS74" s="214"/>
      <c r="CT74" s="259"/>
      <c r="CU74" s="213"/>
      <c r="CV74" s="214"/>
      <c r="CW74" s="214"/>
      <c r="CX74" s="259"/>
    </row>
    <row r="75" spans="1:119" s="1" customFormat="1" x14ac:dyDescent="0.25">
      <c r="A75" s="306"/>
      <c r="B75" s="290" t="s">
        <v>64</v>
      </c>
      <c r="C75" s="78">
        <v>63.4</v>
      </c>
      <c r="D75" s="78">
        <v>88.1</v>
      </c>
      <c r="E75" s="78">
        <v>97.1</v>
      </c>
      <c r="F75" s="78">
        <v>109.2</v>
      </c>
      <c r="G75" s="78">
        <v>99.8</v>
      </c>
      <c r="H75" s="78">
        <v>113.6</v>
      </c>
      <c r="I75" s="78">
        <v>123.7</v>
      </c>
      <c r="J75" s="78">
        <v>87.4</v>
      </c>
      <c r="K75" s="78">
        <v>56.9</v>
      </c>
      <c r="L75" s="78">
        <v>76.400000000000006</v>
      </c>
      <c r="M75" s="78">
        <v>58.5</v>
      </c>
      <c r="N75" s="78">
        <v>63.2</v>
      </c>
      <c r="O75" s="78">
        <v>60.5</v>
      </c>
      <c r="P75" s="78">
        <v>47.9</v>
      </c>
      <c r="Q75" s="78">
        <v>42.7</v>
      </c>
      <c r="R75" s="78">
        <v>53.4</v>
      </c>
      <c r="S75" s="78">
        <v>45.8</v>
      </c>
      <c r="T75" s="78">
        <v>66.099999999999994</v>
      </c>
      <c r="U75" s="78">
        <f t="shared" ref="U75:BN75" si="148">+U74+U73+U72</f>
        <v>183.7</v>
      </c>
      <c r="V75" s="78">
        <f t="shared" si="148"/>
        <v>190.7</v>
      </c>
      <c r="W75" s="78">
        <f t="shared" si="148"/>
        <v>192.5</v>
      </c>
      <c r="X75" s="78">
        <f t="shared" si="148"/>
        <v>208.9</v>
      </c>
      <c r="Y75" s="78">
        <f t="shared" si="148"/>
        <v>217.5</v>
      </c>
      <c r="Z75" s="78">
        <f t="shared" si="148"/>
        <v>225.8</v>
      </c>
      <c r="AA75" s="75">
        <f t="shared" si="148"/>
        <v>212</v>
      </c>
      <c r="AB75" s="75">
        <f t="shared" si="148"/>
        <v>242.39999999999998</v>
      </c>
      <c r="AC75" s="75">
        <f t="shared" si="148"/>
        <v>238.2</v>
      </c>
      <c r="AD75" s="75">
        <f t="shared" si="148"/>
        <v>250.7</v>
      </c>
      <c r="AE75" s="75">
        <f t="shared" si="148"/>
        <v>224.3</v>
      </c>
      <c r="AF75" s="75">
        <f t="shared" si="148"/>
        <v>245.40000000000003</v>
      </c>
      <c r="AG75" s="75">
        <f t="shared" si="148"/>
        <v>244.3</v>
      </c>
      <c r="AH75" s="75">
        <f t="shared" si="148"/>
        <v>279.89999999999998</v>
      </c>
      <c r="AI75" s="75">
        <f t="shared" si="148"/>
        <v>264.60000000000002</v>
      </c>
      <c r="AJ75" s="75">
        <f t="shared" si="148"/>
        <v>315.60000000000002</v>
      </c>
      <c r="AK75" s="75">
        <f t="shared" si="148"/>
        <v>335.9</v>
      </c>
      <c r="AL75" s="75">
        <f t="shared" si="148"/>
        <v>305.39999999999998</v>
      </c>
      <c r="AM75" s="75">
        <f t="shared" si="148"/>
        <v>208.5</v>
      </c>
      <c r="AN75" s="75">
        <f t="shared" si="148"/>
        <v>263.7</v>
      </c>
      <c r="AO75" s="75">
        <f t="shared" si="148"/>
        <v>258.59999999999997</v>
      </c>
      <c r="AP75" s="75">
        <f t="shared" si="148"/>
        <v>320.89999999999998</v>
      </c>
      <c r="AQ75" s="75">
        <f t="shared" si="148"/>
        <v>251</v>
      </c>
      <c r="AR75" s="75">
        <f t="shared" si="148"/>
        <v>355.5</v>
      </c>
      <c r="AS75" s="75">
        <f t="shared" si="148"/>
        <v>340.8</v>
      </c>
      <c r="AT75" s="75">
        <f t="shared" si="148"/>
        <v>388</v>
      </c>
      <c r="AU75" s="75">
        <f t="shared" si="148"/>
        <v>301.89999999999998</v>
      </c>
      <c r="AV75" s="75">
        <f t="shared" si="148"/>
        <v>347.29999999999995</v>
      </c>
      <c r="AW75" s="75">
        <f t="shared" si="148"/>
        <v>328.5</v>
      </c>
      <c r="AX75" s="75">
        <f t="shared" si="148"/>
        <v>325.89999999999998</v>
      </c>
      <c r="AY75" s="74">
        <f t="shared" si="148"/>
        <v>263</v>
      </c>
      <c r="AZ75" s="75">
        <f t="shared" si="148"/>
        <v>292.89999999999998</v>
      </c>
      <c r="BA75" s="75">
        <f t="shared" si="148"/>
        <v>290.3</v>
      </c>
      <c r="BB75" s="76">
        <f t="shared" si="148"/>
        <v>389.3</v>
      </c>
      <c r="BC75" s="77">
        <f t="shared" si="148"/>
        <v>253.6</v>
      </c>
      <c r="BD75" s="78">
        <f t="shared" si="148"/>
        <v>277.60000000000002</v>
      </c>
      <c r="BE75" s="78">
        <f t="shared" si="148"/>
        <v>295.2</v>
      </c>
      <c r="BF75" s="79">
        <f t="shared" si="148"/>
        <v>303.5</v>
      </c>
      <c r="BG75" s="77">
        <f t="shared" si="148"/>
        <v>241.39999999999998</v>
      </c>
      <c r="BH75" s="78">
        <f t="shared" si="148"/>
        <v>298.39999999999998</v>
      </c>
      <c r="BI75" s="78">
        <f t="shared" si="148"/>
        <v>365.3</v>
      </c>
      <c r="BJ75" s="78">
        <f t="shared" si="148"/>
        <v>399.1</v>
      </c>
      <c r="BK75" s="115">
        <f t="shared" si="148"/>
        <v>264.8</v>
      </c>
      <c r="BL75" s="116">
        <f t="shared" si="148"/>
        <v>275.10000000000002</v>
      </c>
      <c r="BM75" s="116">
        <f t="shared" si="148"/>
        <v>328.79999999999995</v>
      </c>
      <c r="BN75" s="117">
        <f t="shared" si="148"/>
        <v>364.8</v>
      </c>
      <c r="BO75" s="115">
        <f>+BO74+BO73+BO72</f>
        <v>267.5</v>
      </c>
      <c r="BP75" s="116">
        <f>+BP74+BP73+BP72</f>
        <v>278.5</v>
      </c>
      <c r="BQ75" s="116">
        <f>+BQ74+BQ73+BQ72+0.1</f>
        <v>336.9</v>
      </c>
      <c r="BR75" s="116">
        <f t="shared" ref="BR75:BW75" si="149">+BR74+BR73+BR72</f>
        <v>319.2</v>
      </c>
      <c r="BS75" s="115">
        <f t="shared" si="149"/>
        <v>40.200000000000003</v>
      </c>
      <c r="BT75" s="116">
        <f t="shared" si="149"/>
        <v>165.3</v>
      </c>
      <c r="BU75" s="116">
        <f t="shared" si="149"/>
        <v>344.2</v>
      </c>
      <c r="BV75" s="117">
        <f t="shared" si="149"/>
        <v>387.79999999999995</v>
      </c>
      <c r="BW75" s="110">
        <f t="shared" si="149"/>
        <v>328</v>
      </c>
      <c r="BX75" s="110">
        <f t="shared" ref="BX75:BY75" si="150">+BX74+BX73+BX72</f>
        <v>108</v>
      </c>
      <c r="BY75" s="110">
        <f t="shared" si="150"/>
        <v>339</v>
      </c>
      <c r="BZ75" s="110">
        <f t="shared" ref="BZ75:CB75" si="151">+BZ74+BZ73+BZ72</f>
        <v>494</v>
      </c>
      <c r="CA75" s="109">
        <v>317</v>
      </c>
      <c r="CB75" s="110">
        <f t="shared" si="151"/>
        <v>351</v>
      </c>
      <c r="CC75" s="110">
        <f t="shared" ref="CC75:CE75" si="152">+CC74+CC73+CC72</f>
        <v>441</v>
      </c>
      <c r="CD75" s="111">
        <f t="shared" si="152"/>
        <v>507</v>
      </c>
      <c r="CE75" s="110">
        <f t="shared" si="152"/>
        <v>314</v>
      </c>
      <c r="CF75" s="110">
        <f t="shared" ref="CF75:CI75" si="153">+CF74+CF73+CF72</f>
        <v>78</v>
      </c>
      <c r="CG75" s="110">
        <f t="shared" si="153"/>
        <v>429</v>
      </c>
      <c r="CH75" s="111">
        <f t="shared" si="153"/>
        <v>465</v>
      </c>
      <c r="CI75" s="110">
        <f t="shared" si="153"/>
        <v>322</v>
      </c>
      <c r="CJ75" s="110">
        <f t="shared" ref="CJ75:CP75" si="154">+CJ74+CJ73+CJ72</f>
        <v>394</v>
      </c>
      <c r="CK75" s="110">
        <f t="shared" si="154"/>
        <v>396</v>
      </c>
      <c r="CL75" s="111">
        <f t="shared" si="154"/>
        <v>338</v>
      </c>
      <c r="CM75" s="110">
        <f t="shared" si="154"/>
        <v>243</v>
      </c>
      <c r="CN75" s="110">
        <f t="shared" si="154"/>
        <v>309</v>
      </c>
      <c r="CO75" s="110">
        <f t="shared" si="154"/>
        <v>300</v>
      </c>
      <c r="CP75" s="111">
        <f t="shared" si="154"/>
        <v>327</v>
      </c>
      <c r="CQ75" s="110">
        <f t="shared" ref="CQ75:CT75" si="155">+CQ74+CQ73+CQ72</f>
        <v>255</v>
      </c>
      <c r="CR75" s="110">
        <f t="shared" si="155"/>
        <v>286</v>
      </c>
      <c r="CS75" s="110">
        <f t="shared" si="155"/>
        <v>345</v>
      </c>
      <c r="CT75" s="111">
        <f t="shared" si="155"/>
        <v>348</v>
      </c>
      <c r="CU75" s="110">
        <f t="shared" ref="CU75:CX75" si="156">+CU74+CU73+CU72</f>
        <v>0</v>
      </c>
      <c r="CV75" s="110">
        <f t="shared" si="156"/>
        <v>0</v>
      </c>
      <c r="CW75" s="110">
        <f t="shared" si="156"/>
        <v>0</v>
      </c>
      <c r="CX75" s="111">
        <f t="shared" si="156"/>
        <v>0</v>
      </c>
      <c r="CY75" s="347"/>
      <c r="CZ75" s="347"/>
      <c r="DA75" s="347"/>
      <c r="DB75" s="347"/>
      <c r="DC75" s="347"/>
      <c r="DD75" s="347"/>
      <c r="DE75" s="347"/>
      <c r="DF75" s="347"/>
      <c r="DG75" s="347"/>
      <c r="DH75" s="347"/>
      <c r="DI75" s="347"/>
      <c r="DJ75" s="347"/>
      <c r="DK75" s="347"/>
      <c r="DL75" s="347"/>
      <c r="DM75" s="347"/>
      <c r="DN75" s="347"/>
      <c r="DO75" s="347"/>
    </row>
    <row r="76" spans="1:119" x14ac:dyDescent="0.25">
      <c r="A76" s="225"/>
      <c r="B76" s="227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4"/>
      <c r="AZ76" s="8"/>
      <c r="BA76" s="8"/>
      <c r="BB76" s="9"/>
      <c r="BC76" s="34"/>
      <c r="BD76" s="32"/>
      <c r="BE76" s="32"/>
      <c r="BF76" s="33"/>
      <c r="BG76" s="34"/>
      <c r="BH76" s="32"/>
      <c r="BI76" s="8"/>
      <c r="BK76" s="225"/>
      <c r="BL76" s="208"/>
      <c r="BM76" s="208"/>
      <c r="BN76" s="227"/>
      <c r="BO76" s="225"/>
      <c r="BP76" s="208"/>
      <c r="BQ76" s="208"/>
      <c r="BR76" s="208"/>
      <c r="BS76" s="225"/>
      <c r="BT76" s="208"/>
      <c r="BU76" s="208"/>
      <c r="BV76" s="227"/>
      <c r="BW76" s="208"/>
      <c r="BX76" s="208"/>
      <c r="BY76" s="208"/>
      <c r="BZ76" s="208"/>
      <c r="CA76" s="225"/>
      <c r="CB76" s="208"/>
      <c r="CC76" s="208"/>
      <c r="CD76" s="227"/>
      <c r="CE76" s="225"/>
      <c r="CF76" s="208"/>
      <c r="CG76" s="208"/>
      <c r="CH76" s="227"/>
      <c r="CI76" s="225"/>
      <c r="CJ76" s="208"/>
      <c r="CK76" s="208"/>
      <c r="CL76" s="227"/>
      <c r="CM76" s="225"/>
      <c r="CN76" s="208"/>
      <c r="CO76" s="208"/>
      <c r="CP76" s="227"/>
      <c r="CQ76" s="225"/>
      <c r="CR76" s="208"/>
      <c r="CS76" s="208"/>
      <c r="CT76" s="227"/>
      <c r="CU76" s="225"/>
      <c r="CV76" s="208"/>
      <c r="CW76" s="208"/>
      <c r="CX76" s="227"/>
    </row>
    <row r="77" spans="1:119" x14ac:dyDescent="0.25">
      <c r="A77" s="225"/>
      <c r="B77" s="292" t="s">
        <v>135</v>
      </c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60" t="s">
        <v>65</v>
      </c>
      <c r="V77" s="60"/>
      <c r="W77" s="60"/>
      <c r="X77" s="32"/>
      <c r="Y77" s="32"/>
      <c r="Z77" s="32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10"/>
      <c r="AZ77" s="8"/>
      <c r="BA77" s="8"/>
      <c r="BB77" s="9"/>
      <c r="BC77" s="34"/>
      <c r="BD77" s="32"/>
      <c r="BE77" s="32"/>
      <c r="BF77" s="33"/>
      <c r="BG77" s="34"/>
      <c r="BH77" s="32"/>
      <c r="BI77" s="8"/>
      <c r="BK77" s="225"/>
      <c r="BL77" s="208"/>
      <c r="BM77" s="208"/>
      <c r="BN77" s="227"/>
      <c r="BO77" s="225"/>
      <c r="BP77" s="208"/>
      <c r="BQ77" s="208"/>
      <c r="BR77" s="208"/>
      <c r="BS77" s="225"/>
      <c r="BT77" s="208"/>
      <c r="BU77" s="208"/>
      <c r="BV77" s="227"/>
      <c r="BW77" s="208"/>
      <c r="BX77" s="208"/>
      <c r="BY77" s="208"/>
      <c r="BZ77" s="208"/>
      <c r="CA77" s="225"/>
      <c r="CB77" s="208"/>
      <c r="CC77" s="208"/>
      <c r="CD77" s="227"/>
      <c r="CE77" s="225"/>
      <c r="CF77" s="208"/>
      <c r="CG77" s="208"/>
      <c r="CH77" s="227"/>
      <c r="CI77" s="225"/>
      <c r="CJ77" s="208"/>
      <c r="CK77" s="208"/>
      <c r="CL77" s="227"/>
      <c r="CM77" s="225"/>
      <c r="CN77" s="208"/>
      <c r="CO77" s="208"/>
      <c r="CP77" s="227"/>
      <c r="CQ77" s="225"/>
      <c r="CR77" s="208"/>
      <c r="CS77" s="208"/>
      <c r="CT77" s="227"/>
      <c r="CU77" s="225"/>
      <c r="CV77" s="208"/>
      <c r="CW77" s="208"/>
      <c r="CX77" s="227"/>
    </row>
    <row r="78" spans="1:119" x14ac:dyDescent="0.25">
      <c r="A78" s="225"/>
      <c r="B78" s="250" t="s">
        <v>66</v>
      </c>
      <c r="C78" s="30">
        <v>812.5</v>
      </c>
      <c r="D78" s="30">
        <v>815.3</v>
      </c>
      <c r="E78" s="30">
        <v>949.4</v>
      </c>
      <c r="F78" s="30">
        <v>915.8</v>
      </c>
      <c r="G78" s="30">
        <v>882</v>
      </c>
      <c r="H78" s="30">
        <v>700.1</v>
      </c>
      <c r="I78" s="30">
        <v>704</v>
      </c>
      <c r="J78" s="30">
        <v>701.6</v>
      </c>
      <c r="K78" s="30">
        <v>691.6</v>
      </c>
      <c r="L78" s="30">
        <v>669.5</v>
      </c>
      <c r="M78" s="30">
        <v>677.9</v>
      </c>
      <c r="N78" s="30">
        <v>737.7</v>
      </c>
      <c r="O78" s="30">
        <v>674.2</v>
      </c>
      <c r="P78" s="30">
        <v>620.20000000000005</v>
      </c>
      <c r="Q78" s="30">
        <v>621</v>
      </c>
      <c r="R78" s="30">
        <v>793.3</v>
      </c>
      <c r="S78" s="30">
        <v>703.4</v>
      </c>
      <c r="T78" s="30">
        <v>949.5</v>
      </c>
      <c r="U78" s="30">
        <v>1070.5999999999999</v>
      </c>
      <c r="V78" s="30">
        <v>1035.8</v>
      </c>
      <c r="W78" s="30">
        <v>1033.4000000000001</v>
      </c>
      <c r="X78" s="30">
        <v>1086.8</v>
      </c>
      <c r="Y78" s="30">
        <v>1133.9000000000001</v>
      </c>
      <c r="Z78" s="30">
        <v>1216.9000000000001</v>
      </c>
      <c r="AA78" s="15">
        <v>1201.5</v>
      </c>
      <c r="AB78" s="15">
        <v>1252.5</v>
      </c>
      <c r="AC78" s="15">
        <v>1059.5</v>
      </c>
      <c r="AD78" s="15">
        <v>1198.3</v>
      </c>
      <c r="AE78" s="15">
        <v>1556.6</v>
      </c>
      <c r="AF78" s="15">
        <v>1251.9000000000001</v>
      </c>
      <c r="AG78" s="15">
        <v>1208.8</v>
      </c>
      <c r="AH78" s="15">
        <v>1285.2</v>
      </c>
      <c r="AI78" s="15">
        <v>891.1</v>
      </c>
      <c r="AJ78" s="15">
        <v>1263</v>
      </c>
      <c r="AK78" s="15">
        <v>1163</v>
      </c>
      <c r="AL78" s="15">
        <v>1185.5</v>
      </c>
      <c r="AM78" s="15">
        <v>1154.3</v>
      </c>
      <c r="AN78" s="15">
        <v>1396.8</v>
      </c>
      <c r="AO78" s="15">
        <v>1690.9</v>
      </c>
      <c r="AP78" s="15">
        <v>1821.8</v>
      </c>
      <c r="AQ78" s="15">
        <v>1512.1</v>
      </c>
      <c r="AR78" s="15">
        <v>1841.9</v>
      </c>
      <c r="AS78" s="15">
        <v>1926.6</v>
      </c>
      <c r="AT78" s="15">
        <v>1413.3</v>
      </c>
      <c r="AU78" s="15">
        <v>1654.3</v>
      </c>
      <c r="AV78" s="15">
        <v>1873.6</v>
      </c>
      <c r="AW78" s="15">
        <v>1717.7</v>
      </c>
      <c r="AX78" s="15">
        <v>1708.8</v>
      </c>
      <c r="AY78" s="14">
        <v>1759</v>
      </c>
      <c r="AZ78" s="15">
        <f>3635.1-AY78</f>
        <v>1876.1</v>
      </c>
      <c r="BA78" s="15">
        <v>1818.6</v>
      </c>
      <c r="BB78" s="16">
        <v>2049.1</v>
      </c>
      <c r="BC78" s="29">
        <v>1243.9000000000001</v>
      </c>
      <c r="BD78" s="30">
        <f>3041.2-BC78</f>
        <v>1797.2999999999997</v>
      </c>
      <c r="BE78" s="30">
        <v>1636.5</v>
      </c>
      <c r="BF78" s="31">
        <v>2013.7</v>
      </c>
      <c r="BG78" s="29">
        <v>2131.9</v>
      </c>
      <c r="BH78" s="30">
        <v>2325.9</v>
      </c>
      <c r="BI78" s="15">
        <v>2376.4</v>
      </c>
      <c r="BJ78" s="30">
        <f>2056.7</f>
        <v>2056.6999999999998</v>
      </c>
      <c r="BK78" s="210">
        <v>1860.1</v>
      </c>
      <c r="BL78" s="221">
        <v>2150.1999999999998</v>
      </c>
      <c r="BM78" s="221">
        <v>2455.5</v>
      </c>
      <c r="BN78" s="222">
        <v>2379.3000000000002</v>
      </c>
      <c r="BO78" s="210">
        <v>1966.4</v>
      </c>
      <c r="BP78" s="221">
        <v>2155.1999999999998</v>
      </c>
      <c r="BQ78" s="221">
        <v>2153.4</v>
      </c>
      <c r="BR78" s="221">
        <v>1856.7</v>
      </c>
      <c r="BS78" s="210">
        <v>1181.3</v>
      </c>
      <c r="BT78" s="221">
        <v>1526.7</v>
      </c>
      <c r="BU78" s="221">
        <v>1922.4</v>
      </c>
      <c r="BV78" s="222">
        <v>2178.1</v>
      </c>
      <c r="BW78" s="213">
        <v>1835</v>
      </c>
      <c r="BX78" s="214">
        <v>1804</v>
      </c>
      <c r="BY78" s="214">
        <v>3334</v>
      </c>
      <c r="BZ78" s="214">
        <v>2823</v>
      </c>
      <c r="CA78" s="213">
        <v>2099</v>
      </c>
      <c r="CB78" s="214">
        <v>2423</v>
      </c>
      <c r="CC78" s="214">
        <v>2499</v>
      </c>
      <c r="CD78" s="259">
        <v>2272</v>
      </c>
      <c r="CE78" s="213">
        <v>1290</v>
      </c>
      <c r="CF78" s="214">
        <v>15</v>
      </c>
      <c r="CG78" s="214">
        <v>1405</v>
      </c>
      <c r="CH78" s="259">
        <v>1776</v>
      </c>
      <c r="CI78" s="213">
        <v>2162</v>
      </c>
      <c r="CJ78" s="214">
        <v>2418</v>
      </c>
      <c r="CK78" s="214">
        <v>2463</v>
      </c>
      <c r="CL78" s="259">
        <v>1790</v>
      </c>
      <c r="CM78" s="213">
        <v>1437</v>
      </c>
      <c r="CN78" s="214">
        <v>1742</v>
      </c>
      <c r="CO78" s="214">
        <v>1665</v>
      </c>
      <c r="CP78" s="259">
        <v>1924</v>
      </c>
      <c r="CQ78" s="213">
        <v>1197</v>
      </c>
      <c r="CR78" s="214">
        <v>1816</v>
      </c>
      <c r="CS78" s="214">
        <v>1502</v>
      </c>
      <c r="CT78" s="259">
        <v>951</v>
      </c>
      <c r="CU78" s="213">
        <v>1850</v>
      </c>
      <c r="CV78" s="214">
        <v>1763</v>
      </c>
      <c r="CW78" s="214"/>
      <c r="CX78" s="259"/>
    </row>
    <row r="79" spans="1:119" x14ac:dyDescent="0.25">
      <c r="A79" s="225"/>
      <c r="B79" s="250" t="s">
        <v>132</v>
      </c>
      <c r="C79" s="5">
        <v>-488.6</v>
      </c>
      <c r="D79" s="5">
        <f>-489.9+4.3</f>
        <v>-485.59999999999997</v>
      </c>
      <c r="E79" s="5">
        <f>-565.6-4.3</f>
        <v>-569.9</v>
      </c>
      <c r="F79" s="5">
        <v>-586.5</v>
      </c>
      <c r="G79" s="5">
        <v>-584</v>
      </c>
      <c r="H79" s="5">
        <v>-594.20000000000005</v>
      </c>
      <c r="I79" s="5">
        <v>-649.20000000000005</v>
      </c>
      <c r="J79" s="5">
        <v>-651.6</v>
      </c>
      <c r="K79" s="5">
        <v>-616.5</v>
      </c>
      <c r="L79" s="5">
        <v>-620.70000000000005</v>
      </c>
      <c r="M79" s="5">
        <v>-636</v>
      </c>
      <c r="N79" s="5">
        <v>-649.4</v>
      </c>
      <c r="O79" s="5">
        <v>-633.70000000000005</v>
      </c>
      <c r="P79" s="5">
        <v>-624.20000000000005</v>
      </c>
      <c r="Q79" s="5">
        <v>-624.70000000000005</v>
      </c>
      <c r="R79" s="5">
        <v>-648.29999999999995</v>
      </c>
      <c r="S79" s="5">
        <v>-615.6</v>
      </c>
      <c r="T79" s="5">
        <v>-666.7</v>
      </c>
      <c r="U79" s="5">
        <v>-615.5</v>
      </c>
      <c r="V79" s="5">
        <v>-629.1</v>
      </c>
      <c r="W79" s="5">
        <v>-643.5</v>
      </c>
      <c r="X79" s="5">
        <v>-648</v>
      </c>
      <c r="Y79" s="5">
        <v>-660.6</v>
      </c>
      <c r="Z79" s="5">
        <v>-688.7</v>
      </c>
      <c r="AA79" s="6">
        <v>-646.5</v>
      </c>
      <c r="AB79" s="6">
        <v>-694.2</v>
      </c>
      <c r="AC79" s="6">
        <v>-785.4</v>
      </c>
      <c r="AD79" s="6">
        <v>-772.8</v>
      </c>
      <c r="AE79" s="6">
        <v>-762.9</v>
      </c>
      <c r="AF79" s="6">
        <v>-762.7</v>
      </c>
      <c r="AG79" s="6">
        <v>-848.2</v>
      </c>
      <c r="AH79" s="6">
        <v>-862.7</v>
      </c>
      <c r="AI79" s="6">
        <v>-830.5</v>
      </c>
      <c r="AJ79" s="6">
        <v>-882.9</v>
      </c>
      <c r="AK79" s="6">
        <v>-910.7</v>
      </c>
      <c r="AL79" s="6">
        <v>-863.6</v>
      </c>
      <c r="AM79" s="6">
        <v>-789.2</v>
      </c>
      <c r="AN79" s="6">
        <v>-917.2</v>
      </c>
      <c r="AO79" s="6">
        <v>-933.7</v>
      </c>
      <c r="AP79" s="6">
        <v>-886</v>
      </c>
      <c r="AQ79" s="6">
        <v>-930</v>
      </c>
      <c r="AR79" s="6">
        <v>-985</v>
      </c>
      <c r="AS79" s="6">
        <v>-1064.5</v>
      </c>
      <c r="AT79" s="6">
        <v>-943.3</v>
      </c>
      <c r="AU79" s="6">
        <v>-992.1</v>
      </c>
      <c r="AV79" s="6">
        <v>-1027.9000000000001</v>
      </c>
      <c r="AW79" s="6">
        <v>-1080.4000000000001</v>
      </c>
      <c r="AX79" s="6">
        <v>-1014</v>
      </c>
      <c r="AY79" s="17">
        <v>-1028</v>
      </c>
      <c r="AZ79" s="6">
        <f>-2144.5-AY79</f>
        <v>-1116.5</v>
      </c>
      <c r="BA79" s="6">
        <v>-1188.7</v>
      </c>
      <c r="BB79" s="18">
        <v>-1169.0999999999999</v>
      </c>
      <c r="BC79" s="38">
        <v>-1085.4000000000001</v>
      </c>
      <c r="BD79" s="5">
        <f>-2297.3-BC79</f>
        <v>-1211.9000000000001</v>
      </c>
      <c r="BE79" s="5">
        <v>-1272.4000000000001</v>
      </c>
      <c r="BF79" s="39">
        <v>-1207.5</v>
      </c>
      <c r="BG79" s="38">
        <v>-1239.7</v>
      </c>
      <c r="BH79" s="5">
        <v>-1279.0999999999999</v>
      </c>
      <c r="BI79" s="5">
        <v>-1337.1</v>
      </c>
      <c r="BJ79" s="5">
        <f>-1185.1</f>
        <v>-1185.0999999999999</v>
      </c>
      <c r="BK79" s="276">
        <v>-1360.6</v>
      </c>
      <c r="BL79" s="244">
        <v>-1456.9</v>
      </c>
      <c r="BM79" s="244">
        <v>-1514.9</v>
      </c>
      <c r="BN79" s="315">
        <v>-1430.3</v>
      </c>
      <c r="BO79" s="276">
        <v>-1471.2</v>
      </c>
      <c r="BP79" s="244">
        <v>-1694.5</v>
      </c>
      <c r="BQ79" s="325">
        <v>-1696.1</v>
      </c>
      <c r="BR79" s="244">
        <v>-1503.1</v>
      </c>
      <c r="BS79" s="276">
        <v>-1512.4</v>
      </c>
      <c r="BT79" s="244">
        <f>-1616.4+0.2</f>
        <v>-1616.2</v>
      </c>
      <c r="BU79" s="244">
        <v>-1763.8</v>
      </c>
      <c r="BV79" s="315">
        <v>-1980.6000000000001</v>
      </c>
      <c r="BW79" s="361">
        <v>-1605</v>
      </c>
      <c r="BX79" s="417">
        <v>-1552</v>
      </c>
      <c r="BY79" s="417">
        <v>-2018</v>
      </c>
      <c r="BZ79" s="417">
        <v>-1704</v>
      </c>
      <c r="CA79" s="361">
        <v>-1768</v>
      </c>
      <c r="CB79" s="417">
        <v>-2115</v>
      </c>
      <c r="CC79" s="417">
        <v>-2102</v>
      </c>
      <c r="CD79" s="431">
        <v>-1860</v>
      </c>
      <c r="CE79" s="361">
        <v>-1757</v>
      </c>
      <c r="CF79" s="417">
        <v>-1059</v>
      </c>
      <c r="CG79" s="417">
        <v>-1926</v>
      </c>
      <c r="CH79" s="431">
        <v>-1638</v>
      </c>
      <c r="CI79" s="361">
        <v>-2136</v>
      </c>
      <c r="CJ79" s="417">
        <v>-2043</v>
      </c>
      <c r="CK79" s="417">
        <v>-2162</v>
      </c>
      <c r="CL79" s="431">
        <v>-1808</v>
      </c>
      <c r="CM79" s="361">
        <v>-1556</v>
      </c>
      <c r="CN79" s="417">
        <v>-1712</v>
      </c>
      <c r="CO79" s="417">
        <v>-1598</v>
      </c>
      <c r="CP79" s="431">
        <v>-1459</v>
      </c>
      <c r="CQ79" s="361">
        <v>-1160</v>
      </c>
      <c r="CR79" s="417">
        <v>-1700</v>
      </c>
      <c r="CS79" s="417">
        <v>-1454</v>
      </c>
      <c r="CT79" s="431">
        <v>-1281</v>
      </c>
      <c r="CU79" s="361">
        <v>-1671</v>
      </c>
      <c r="CV79" s="417">
        <v>-1795</v>
      </c>
      <c r="CW79" s="417"/>
      <c r="CX79" s="431"/>
    </row>
    <row r="80" spans="1:119" x14ac:dyDescent="0.25">
      <c r="A80" s="225"/>
      <c r="B80" s="250"/>
      <c r="C80" s="30">
        <f>+C79+C78</f>
        <v>323.89999999999998</v>
      </c>
      <c r="D80" s="30">
        <f>+D79+D78</f>
        <v>329.7</v>
      </c>
      <c r="E80" s="30">
        <f t="shared" ref="E80:BK80" si="157">+E79+E78</f>
        <v>379.5</v>
      </c>
      <c r="F80" s="30">
        <f t="shared" si="157"/>
        <v>329.29999999999995</v>
      </c>
      <c r="G80" s="30">
        <f t="shared" si="157"/>
        <v>298</v>
      </c>
      <c r="H80" s="30">
        <f t="shared" si="157"/>
        <v>105.89999999999998</v>
      </c>
      <c r="I80" s="30">
        <f t="shared" si="157"/>
        <v>54.799999999999955</v>
      </c>
      <c r="J80" s="30">
        <f t="shared" si="157"/>
        <v>50</v>
      </c>
      <c r="K80" s="30">
        <f t="shared" si="157"/>
        <v>75.100000000000023</v>
      </c>
      <c r="L80" s="30">
        <f t="shared" si="157"/>
        <v>48.799999999999955</v>
      </c>
      <c r="M80" s="30">
        <f t="shared" si="157"/>
        <v>41.899999999999977</v>
      </c>
      <c r="N80" s="30">
        <f t="shared" si="157"/>
        <v>88.300000000000068</v>
      </c>
      <c r="O80" s="30">
        <f t="shared" si="157"/>
        <v>40.5</v>
      </c>
      <c r="P80" s="30">
        <f t="shared" si="157"/>
        <v>-4</v>
      </c>
      <c r="Q80" s="30">
        <f t="shared" si="157"/>
        <v>-3.7000000000000455</v>
      </c>
      <c r="R80" s="30">
        <f t="shared" si="157"/>
        <v>145</v>
      </c>
      <c r="S80" s="30">
        <f t="shared" si="157"/>
        <v>87.799999999999955</v>
      </c>
      <c r="T80" s="30">
        <f t="shared" si="157"/>
        <v>282.79999999999995</v>
      </c>
      <c r="U80" s="30">
        <f t="shared" si="157"/>
        <v>455.09999999999991</v>
      </c>
      <c r="V80" s="30">
        <f t="shared" si="157"/>
        <v>406.69999999999993</v>
      </c>
      <c r="W80" s="30">
        <f t="shared" si="157"/>
        <v>389.90000000000009</v>
      </c>
      <c r="X80" s="30">
        <f t="shared" si="157"/>
        <v>438.79999999999995</v>
      </c>
      <c r="Y80" s="30">
        <f t="shared" si="157"/>
        <v>473.30000000000007</v>
      </c>
      <c r="Z80" s="30">
        <f t="shared" si="157"/>
        <v>528.20000000000005</v>
      </c>
      <c r="AA80" s="15">
        <f t="shared" si="157"/>
        <v>555</v>
      </c>
      <c r="AB80" s="15">
        <f t="shared" si="157"/>
        <v>558.29999999999995</v>
      </c>
      <c r="AC80" s="15">
        <f t="shared" si="157"/>
        <v>274.10000000000002</v>
      </c>
      <c r="AD80" s="15">
        <f t="shared" si="157"/>
        <v>425.5</v>
      </c>
      <c r="AE80" s="15">
        <f t="shared" si="157"/>
        <v>793.69999999999993</v>
      </c>
      <c r="AF80" s="15">
        <f t="shared" si="157"/>
        <v>489.20000000000005</v>
      </c>
      <c r="AG80" s="15">
        <f t="shared" si="157"/>
        <v>360.59999999999991</v>
      </c>
      <c r="AH80" s="15">
        <f t="shared" si="157"/>
        <v>422.5</v>
      </c>
      <c r="AI80" s="15">
        <f t="shared" si="157"/>
        <v>60.600000000000023</v>
      </c>
      <c r="AJ80" s="15">
        <f t="shared" si="157"/>
        <v>380.1</v>
      </c>
      <c r="AK80" s="15">
        <f t="shared" si="157"/>
        <v>252.29999999999995</v>
      </c>
      <c r="AL80" s="15">
        <f t="shared" si="157"/>
        <v>321.89999999999998</v>
      </c>
      <c r="AM80" s="15">
        <f t="shared" si="157"/>
        <v>365.09999999999991</v>
      </c>
      <c r="AN80" s="15">
        <f t="shared" si="157"/>
        <v>479.59999999999991</v>
      </c>
      <c r="AO80" s="15">
        <f t="shared" si="157"/>
        <v>757.2</v>
      </c>
      <c r="AP80" s="15">
        <f t="shared" si="157"/>
        <v>935.8</v>
      </c>
      <c r="AQ80" s="15">
        <f t="shared" si="157"/>
        <v>582.09999999999991</v>
      </c>
      <c r="AR80" s="15">
        <f t="shared" si="157"/>
        <v>856.90000000000009</v>
      </c>
      <c r="AS80" s="15">
        <f t="shared" si="157"/>
        <v>862.09999999999991</v>
      </c>
      <c r="AT80" s="15">
        <f t="shared" si="157"/>
        <v>470</v>
      </c>
      <c r="AU80" s="15">
        <f t="shared" si="157"/>
        <v>662.19999999999993</v>
      </c>
      <c r="AV80" s="15">
        <f t="shared" si="157"/>
        <v>845.69999999999982</v>
      </c>
      <c r="AW80" s="15">
        <f t="shared" si="157"/>
        <v>637.29999999999995</v>
      </c>
      <c r="AX80" s="15">
        <f t="shared" si="157"/>
        <v>694.8</v>
      </c>
      <c r="AY80" s="14">
        <f t="shared" si="157"/>
        <v>731</v>
      </c>
      <c r="AZ80" s="15">
        <f t="shared" si="157"/>
        <v>759.59999999999991</v>
      </c>
      <c r="BA80" s="15">
        <f t="shared" si="157"/>
        <v>629.89999999999986</v>
      </c>
      <c r="BB80" s="16">
        <f t="shared" si="157"/>
        <v>880</v>
      </c>
      <c r="BC80" s="29">
        <f t="shared" si="157"/>
        <v>158.5</v>
      </c>
      <c r="BD80" s="30">
        <f t="shared" si="157"/>
        <v>585.39999999999964</v>
      </c>
      <c r="BE80" s="30">
        <f t="shared" si="157"/>
        <v>364.09999999999991</v>
      </c>
      <c r="BF80" s="31">
        <f t="shared" si="157"/>
        <v>806.2</v>
      </c>
      <c r="BG80" s="29">
        <f t="shared" si="157"/>
        <v>892.2</v>
      </c>
      <c r="BH80" s="30">
        <f t="shared" si="157"/>
        <v>1046.8000000000002</v>
      </c>
      <c r="BI80" s="30">
        <f t="shared" si="157"/>
        <v>1039.3000000000002</v>
      </c>
      <c r="BJ80" s="30">
        <f t="shared" si="157"/>
        <v>871.59999999999991</v>
      </c>
      <c r="BK80" s="210">
        <f t="shared" si="157"/>
        <v>499.5</v>
      </c>
      <c r="BL80" s="221">
        <f t="shared" ref="BL80:BS80" si="158">+BL79+BL78</f>
        <v>693.29999999999973</v>
      </c>
      <c r="BM80" s="221">
        <f t="shared" si="158"/>
        <v>940.59999999999991</v>
      </c>
      <c r="BN80" s="222">
        <f t="shared" si="158"/>
        <v>949.00000000000023</v>
      </c>
      <c r="BO80" s="210">
        <f t="shared" si="158"/>
        <v>495.20000000000005</v>
      </c>
      <c r="BP80" s="221">
        <f t="shared" si="158"/>
        <v>460.69999999999982</v>
      </c>
      <c r="BQ80" s="221">
        <f t="shared" si="158"/>
        <v>457.30000000000018</v>
      </c>
      <c r="BR80" s="221">
        <f t="shared" si="158"/>
        <v>353.60000000000014</v>
      </c>
      <c r="BS80" s="210">
        <f t="shared" si="158"/>
        <v>-331.10000000000014</v>
      </c>
      <c r="BT80" s="221">
        <f t="shared" ref="BT80:BY80" si="159">+BT79+BT78</f>
        <v>-89.5</v>
      </c>
      <c r="BU80" s="221">
        <f t="shared" si="159"/>
        <v>158.60000000000014</v>
      </c>
      <c r="BV80" s="222">
        <f t="shared" si="159"/>
        <v>197.49999999999977</v>
      </c>
      <c r="BW80" s="213">
        <f t="shared" si="159"/>
        <v>230</v>
      </c>
      <c r="BX80" s="214">
        <f t="shared" si="159"/>
        <v>252</v>
      </c>
      <c r="BY80" s="214">
        <f t="shared" si="159"/>
        <v>1316</v>
      </c>
      <c r="BZ80" s="214">
        <f t="shared" ref="BZ80:CB80" si="160">+BZ79+BZ78</f>
        <v>1119</v>
      </c>
      <c r="CA80" s="213">
        <f t="shared" si="160"/>
        <v>331</v>
      </c>
      <c r="CB80" s="214">
        <f t="shared" si="160"/>
        <v>308</v>
      </c>
      <c r="CC80" s="214">
        <f t="shared" ref="CC80:CF80" si="161">+CC79+CC78</f>
        <v>397</v>
      </c>
      <c r="CD80" s="259">
        <f t="shared" si="161"/>
        <v>412</v>
      </c>
      <c r="CE80" s="213">
        <f t="shared" si="161"/>
        <v>-467</v>
      </c>
      <c r="CF80" s="214">
        <f t="shared" si="161"/>
        <v>-1044</v>
      </c>
      <c r="CG80" s="214">
        <f t="shared" ref="CG80:CJ80" si="162">+CG79+CG78</f>
        <v>-521</v>
      </c>
      <c r="CH80" s="259">
        <f t="shared" si="162"/>
        <v>138</v>
      </c>
      <c r="CI80" s="213">
        <f>+CI79+CI78</f>
        <v>26</v>
      </c>
      <c r="CJ80" s="214">
        <f t="shared" si="162"/>
        <v>375</v>
      </c>
      <c r="CK80" s="214">
        <f t="shared" ref="CK80:CL80" si="163">+CK79+CK78</f>
        <v>301</v>
      </c>
      <c r="CL80" s="259">
        <f t="shared" si="163"/>
        <v>-18</v>
      </c>
      <c r="CM80" s="213">
        <f>+CM79+CM78</f>
        <v>-119</v>
      </c>
      <c r="CN80" s="214">
        <f t="shared" ref="CN80:CP80" si="164">+CN79+CN78</f>
        <v>30</v>
      </c>
      <c r="CO80" s="214">
        <f t="shared" si="164"/>
        <v>67</v>
      </c>
      <c r="CP80" s="259">
        <f t="shared" si="164"/>
        <v>465</v>
      </c>
      <c r="CQ80" s="213">
        <f>+CQ79+CQ78</f>
        <v>37</v>
      </c>
      <c r="CR80" s="214">
        <f t="shared" ref="CR80:CT80" si="165">+CR79+CR78</f>
        <v>116</v>
      </c>
      <c r="CS80" s="214">
        <f t="shared" si="165"/>
        <v>48</v>
      </c>
      <c r="CT80" s="259">
        <f t="shared" si="165"/>
        <v>-330</v>
      </c>
      <c r="CU80" s="213">
        <f>+CU79+CU78</f>
        <v>179</v>
      </c>
      <c r="CV80" s="214">
        <f t="shared" ref="CV80:CX80" si="166">+CV79+CV78</f>
        <v>-32</v>
      </c>
      <c r="CW80" s="214">
        <f t="shared" si="166"/>
        <v>0</v>
      </c>
      <c r="CX80" s="259">
        <f t="shared" si="166"/>
        <v>0</v>
      </c>
    </row>
    <row r="81" spans="1:119" x14ac:dyDescent="0.25">
      <c r="A81" s="225"/>
      <c r="B81" s="250" t="s">
        <v>67</v>
      </c>
      <c r="C81" s="30">
        <v>-29.6</v>
      </c>
      <c r="D81" s="30">
        <v>-36.1</v>
      </c>
      <c r="E81" s="30">
        <v>-48.6</v>
      </c>
      <c r="F81" s="30">
        <v>-58.6</v>
      </c>
      <c r="G81" s="30">
        <v>-59.7</v>
      </c>
      <c r="H81" s="30">
        <v>-54.4</v>
      </c>
      <c r="I81" s="30">
        <v>-59.5</v>
      </c>
      <c r="J81" s="30">
        <v>-63.2</v>
      </c>
      <c r="K81" s="30">
        <v>-62</v>
      </c>
      <c r="L81" s="30">
        <v>-63.6</v>
      </c>
      <c r="M81" s="30">
        <v>-87</v>
      </c>
      <c r="N81" s="30">
        <v>-92.3</v>
      </c>
      <c r="O81" s="30">
        <v>-85</v>
      </c>
      <c r="P81" s="30">
        <v>-79.599999999999994</v>
      </c>
      <c r="Q81" s="30">
        <v>-58.3</v>
      </c>
      <c r="R81" s="30">
        <v>-70.2</v>
      </c>
      <c r="S81" s="30">
        <v>-57.7</v>
      </c>
      <c r="T81" s="30">
        <v>-70</v>
      </c>
      <c r="U81" s="30">
        <v>-139.5</v>
      </c>
      <c r="V81" s="30">
        <v>-151.30000000000001</v>
      </c>
      <c r="W81" s="30">
        <v>-125.5</v>
      </c>
      <c r="X81" s="30">
        <v>-128.6</v>
      </c>
      <c r="Y81" s="30">
        <v>-159.1</v>
      </c>
      <c r="Z81" s="30">
        <v>-160.4</v>
      </c>
      <c r="AA81" s="15">
        <v>-127.4</v>
      </c>
      <c r="AB81" s="15">
        <v>-144.5</v>
      </c>
      <c r="AC81" s="15">
        <v>-174.8</v>
      </c>
      <c r="AD81" s="15">
        <v>-161.80000000000001</v>
      </c>
      <c r="AE81" s="15">
        <v>-180.4</v>
      </c>
      <c r="AF81" s="15">
        <v>-175.7</v>
      </c>
      <c r="AG81" s="15">
        <v>-215.7</v>
      </c>
      <c r="AH81" s="15">
        <v>-208.1</v>
      </c>
      <c r="AI81" s="15">
        <v>-167</v>
      </c>
      <c r="AJ81" s="15">
        <v>-209.5</v>
      </c>
      <c r="AK81" s="15">
        <v>-223.1</v>
      </c>
      <c r="AL81" s="15">
        <v>-198.2</v>
      </c>
      <c r="AM81" s="15">
        <v>-223.8</v>
      </c>
      <c r="AN81" s="15">
        <v>-201.3</v>
      </c>
      <c r="AO81" s="15">
        <v>-192.1</v>
      </c>
      <c r="AP81" s="15">
        <v>-196</v>
      </c>
      <c r="AQ81" s="15">
        <v>-183.9</v>
      </c>
      <c r="AR81" s="15">
        <v>-201</v>
      </c>
      <c r="AS81" s="15">
        <v>-194.5</v>
      </c>
      <c r="AT81" s="15">
        <v>-147</v>
      </c>
      <c r="AU81" s="15">
        <v>-202.5</v>
      </c>
      <c r="AV81" s="15">
        <v>-265.39999999999998</v>
      </c>
      <c r="AW81" s="15">
        <v>-292.60000000000002</v>
      </c>
      <c r="AX81" s="15">
        <v>-336</v>
      </c>
      <c r="AY81" s="14">
        <v>-321.39999999999998</v>
      </c>
      <c r="AZ81" s="15">
        <f>-667.8-AY81</f>
        <v>-346.4</v>
      </c>
      <c r="BA81" s="15">
        <v>-318.39999999999998</v>
      </c>
      <c r="BB81" s="16">
        <v>-336.1</v>
      </c>
      <c r="BC81" s="29">
        <v>-206.6</v>
      </c>
      <c r="BD81" s="30">
        <f>-485.5-BC81</f>
        <v>-278.89999999999998</v>
      </c>
      <c r="BE81" s="30">
        <v>-252.1</v>
      </c>
      <c r="BF81" s="31">
        <v>-291.7</v>
      </c>
      <c r="BG81" s="29">
        <v>-278.10000000000002</v>
      </c>
      <c r="BH81" s="30">
        <v>-287.39999999999998</v>
      </c>
      <c r="BI81" s="8">
        <v>-295.7</v>
      </c>
      <c r="BJ81" s="30">
        <v>-329.5</v>
      </c>
      <c r="BK81" s="210">
        <v>-319.8</v>
      </c>
      <c r="BL81" s="221">
        <v>-356.3</v>
      </c>
      <c r="BM81" s="221">
        <v>-379.8</v>
      </c>
      <c r="BN81" s="222">
        <v>-348.5</v>
      </c>
      <c r="BO81" s="210">
        <v>-309.8</v>
      </c>
      <c r="BP81" s="221">
        <v>-350</v>
      </c>
      <c r="BQ81" s="221">
        <v>-369.9</v>
      </c>
      <c r="BR81" s="221">
        <v>-349.1</v>
      </c>
      <c r="BS81" s="210">
        <v>-304.7</v>
      </c>
      <c r="BT81" s="221">
        <v>-260.2</v>
      </c>
      <c r="BU81" s="221">
        <v>-304.60000000000002</v>
      </c>
      <c r="BV81" s="222">
        <v>-331.5</v>
      </c>
      <c r="BW81" s="213">
        <v>-280</v>
      </c>
      <c r="BX81" s="214">
        <v>-184</v>
      </c>
      <c r="BY81" s="214">
        <v>-315</v>
      </c>
      <c r="BZ81" s="214">
        <v>-314</v>
      </c>
      <c r="CA81" s="213">
        <v>-237</v>
      </c>
      <c r="CB81" s="214">
        <v>-282</v>
      </c>
      <c r="CC81" s="214">
        <v>-292</v>
      </c>
      <c r="CD81" s="259">
        <v>-252</v>
      </c>
      <c r="CE81" s="213">
        <v>-105</v>
      </c>
      <c r="CF81" s="214">
        <v>-54</v>
      </c>
      <c r="CG81" s="214">
        <v>-135</v>
      </c>
      <c r="CH81" s="259">
        <v>-175</v>
      </c>
      <c r="CI81" s="213">
        <v>-168</v>
      </c>
      <c r="CJ81" s="214">
        <v>-202</v>
      </c>
      <c r="CK81" s="214">
        <v>-225</v>
      </c>
      <c r="CL81" s="259">
        <v>-201</v>
      </c>
      <c r="CM81" s="213">
        <v>-150</v>
      </c>
      <c r="CN81" s="214">
        <v>-165</v>
      </c>
      <c r="CO81" s="214">
        <v>-189</v>
      </c>
      <c r="CP81" s="259">
        <v>-284</v>
      </c>
      <c r="CQ81" s="213">
        <v>-175</v>
      </c>
      <c r="CR81" s="214">
        <v>-199</v>
      </c>
      <c r="CS81" s="214">
        <v>-189</v>
      </c>
      <c r="CT81" s="259">
        <v>-154</v>
      </c>
      <c r="CU81" s="693">
        <v>0</v>
      </c>
      <c r="CV81" s="681">
        <v>0</v>
      </c>
      <c r="CW81" s="214"/>
      <c r="CX81" s="259"/>
    </row>
    <row r="82" spans="1:119" x14ac:dyDescent="0.25">
      <c r="A82" s="225"/>
      <c r="B82" s="250" t="s">
        <v>68</v>
      </c>
      <c r="C82" s="30">
        <v>3</v>
      </c>
      <c r="D82" s="30">
        <v>5.2</v>
      </c>
      <c r="E82" s="30">
        <v>4</v>
      </c>
      <c r="F82" s="30">
        <v>0</v>
      </c>
      <c r="G82" s="30">
        <v>0.2</v>
      </c>
      <c r="H82" s="30">
        <f>-8.6+1.1</f>
        <v>-7.5</v>
      </c>
      <c r="I82" s="30">
        <v>-4.0999999999999996</v>
      </c>
      <c r="J82" s="30">
        <f>-1.4-1.2</f>
        <v>-2.5999999999999996</v>
      </c>
      <c r="K82" s="30">
        <f>-12.5-0.7</f>
        <v>-13.2</v>
      </c>
      <c r="L82" s="30">
        <v>-40.799999999999997</v>
      </c>
      <c r="M82" s="30">
        <v>29.3</v>
      </c>
      <c r="N82" s="30">
        <v>28.4</v>
      </c>
      <c r="O82" s="30">
        <v>-38.5</v>
      </c>
      <c r="P82" s="30">
        <f>13.2-12.6</f>
        <v>0.59999999999999964</v>
      </c>
      <c r="Q82" s="30">
        <v>-12.2</v>
      </c>
      <c r="R82" s="30">
        <v>-8.4</v>
      </c>
      <c r="S82" s="30">
        <f>-8.5+16.7</f>
        <v>8.1999999999999993</v>
      </c>
      <c r="T82" s="30">
        <f>-10.6+0.1</f>
        <v>-10.5</v>
      </c>
      <c r="U82" s="30">
        <v>-7.3</v>
      </c>
      <c r="V82" s="30">
        <v>-9.5</v>
      </c>
      <c r="W82" s="30">
        <f>-5.1+0.6</f>
        <v>-4.5</v>
      </c>
      <c r="X82" s="30">
        <f>-5.6+0.3</f>
        <v>-5.3</v>
      </c>
      <c r="Y82" s="30">
        <f>-11.5+0.4</f>
        <v>-11.1</v>
      </c>
      <c r="Z82" s="30">
        <f>-9.6+0.5</f>
        <v>-9.1</v>
      </c>
      <c r="AA82" s="15">
        <v>-47</v>
      </c>
      <c r="AB82" s="15">
        <f>-8-0.3</f>
        <v>-8.3000000000000007</v>
      </c>
      <c r="AC82" s="15">
        <f>-23.9</f>
        <v>-23.9</v>
      </c>
      <c r="AD82" s="15">
        <f>-41.7</f>
        <v>-41.7</v>
      </c>
      <c r="AE82" s="15">
        <f>-50.3+7.6</f>
        <v>-42.699999999999996</v>
      </c>
      <c r="AF82" s="15">
        <f>-21.9-23.1</f>
        <v>-45</v>
      </c>
      <c r="AG82" s="15">
        <f>-16.3-0.5</f>
        <v>-16.8</v>
      </c>
      <c r="AH82" s="15">
        <f>-21.5+2.4</f>
        <v>-19.100000000000001</v>
      </c>
      <c r="AI82" s="15">
        <f>-21.1</f>
        <v>-21.1</v>
      </c>
      <c r="AJ82" s="15">
        <f>-46.6-2.6</f>
        <v>-49.2</v>
      </c>
      <c r="AK82" s="15">
        <f>-41.6-51.8</f>
        <v>-93.4</v>
      </c>
      <c r="AL82" s="15">
        <f>-4.3-400.8</f>
        <v>-405.1</v>
      </c>
      <c r="AM82" s="15">
        <f>-15.2-3.7</f>
        <v>-18.899999999999999</v>
      </c>
      <c r="AN82" s="15">
        <f>-18.4-10.1</f>
        <v>-28.5</v>
      </c>
      <c r="AO82" s="15">
        <f>-16.7-29.3</f>
        <v>-46</v>
      </c>
      <c r="AP82" s="15">
        <f>-36.5-11</f>
        <v>-47.5</v>
      </c>
      <c r="AQ82" s="15">
        <f>-15.5-22.9</f>
        <v>-38.4</v>
      </c>
      <c r="AR82" s="15">
        <f>-7.2-29.5</f>
        <v>-36.700000000000003</v>
      </c>
      <c r="AS82" s="15">
        <f>-14-35.2</f>
        <v>-49.2</v>
      </c>
      <c r="AT82" s="15">
        <f>-21.7-38.9</f>
        <v>-60.599999999999994</v>
      </c>
      <c r="AU82" s="15">
        <v>-112.9</v>
      </c>
      <c r="AV82" s="15">
        <v>-100</v>
      </c>
      <c r="AW82" s="15">
        <v>-51.9</v>
      </c>
      <c r="AX82" s="15">
        <v>-69.5</v>
      </c>
      <c r="AY82" s="14">
        <v>-71.099999999999994</v>
      </c>
      <c r="AZ82" s="15">
        <v>-47.199999999999932</v>
      </c>
      <c r="BA82" s="15">
        <v>-208.4</v>
      </c>
      <c r="BB82" s="16">
        <v>-30</v>
      </c>
      <c r="BC82" s="29">
        <v>-45.2</v>
      </c>
      <c r="BD82" s="30">
        <f>-76.2-BC82</f>
        <v>-31</v>
      </c>
      <c r="BE82" s="30">
        <v>-32.200000000000003</v>
      </c>
      <c r="BF82" s="31">
        <f>-66.2-5.7</f>
        <v>-71.900000000000006</v>
      </c>
      <c r="BG82" s="29">
        <f>-188.1+0.1</f>
        <v>-188</v>
      </c>
      <c r="BH82" s="30">
        <f>-34.4+21.8</f>
        <v>-12.599999999999998</v>
      </c>
      <c r="BI82" s="15">
        <f>-743.6+690.9</f>
        <v>-52.700000000000045</v>
      </c>
      <c r="BJ82" s="30">
        <f>-542.1+515.8</f>
        <v>-26.300000000000068</v>
      </c>
      <c r="BK82" s="210">
        <f>-179.7+119.2</f>
        <v>-60.499999999999986</v>
      </c>
      <c r="BL82" s="221">
        <f>-337+280</f>
        <v>-57</v>
      </c>
      <c r="BM82" s="221">
        <v>-62.6</v>
      </c>
      <c r="BN82" s="222">
        <v>-62.4</v>
      </c>
      <c r="BO82" s="210">
        <v>-54.4</v>
      </c>
      <c r="BP82" s="221">
        <v>-80.599999999999994</v>
      </c>
      <c r="BQ82" s="221">
        <f>-9.5-20-86.5</f>
        <v>-116</v>
      </c>
      <c r="BR82" s="221">
        <f>-15.2+14.3-50</f>
        <v>-50.9</v>
      </c>
      <c r="BS82" s="210">
        <f>-46.9+0.4-89.6</f>
        <v>-136.1</v>
      </c>
      <c r="BT82" s="221">
        <f>-120.1+0.2</f>
        <v>-119.89999999999999</v>
      </c>
      <c r="BU82" s="221">
        <f>-20.1-47.1+2.2</f>
        <v>-65</v>
      </c>
      <c r="BV82" s="222">
        <f>-2.8-34.6+4</f>
        <v>-33.4</v>
      </c>
      <c r="BW82" s="213">
        <v>-50</v>
      </c>
      <c r="BX82" s="214">
        <v>-37</v>
      </c>
      <c r="BY82" s="214">
        <v>-64</v>
      </c>
      <c r="BZ82" s="214">
        <v>-30</v>
      </c>
      <c r="CA82" s="213">
        <v>-34</v>
      </c>
      <c r="CB82" s="214">
        <v>-22</v>
      </c>
      <c r="CC82" s="214">
        <v>-18</v>
      </c>
      <c r="CD82" s="259">
        <v>-3704</v>
      </c>
      <c r="CE82" s="213">
        <v>-49</v>
      </c>
      <c r="CF82" s="214">
        <v>-75</v>
      </c>
      <c r="CG82" s="214">
        <v>-54</v>
      </c>
      <c r="CH82" s="259">
        <v>-72</v>
      </c>
      <c r="CI82" s="213">
        <v>-100</v>
      </c>
      <c r="CJ82" s="214">
        <v>-74</v>
      </c>
      <c r="CK82" s="214">
        <v>-99</v>
      </c>
      <c r="CL82" s="259">
        <v>-1954</v>
      </c>
      <c r="CM82" s="213">
        <v>-251</v>
      </c>
      <c r="CN82" s="214">
        <v>-244</v>
      </c>
      <c r="CO82" s="214">
        <v>-230</v>
      </c>
      <c r="CP82" s="259">
        <v>-124</v>
      </c>
      <c r="CQ82" s="213">
        <v>-62</v>
      </c>
      <c r="CR82" s="214">
        <v>-66</v>
      </c>
      <c r="CS82" s="214">
        <v>-51</v>
      </c>
      <c r="CT82" s="259">
        <v>-3824</v>
      </c>
      <c r="CU82" s="213">
        <v>-39</v>
      </c>
      <c r="CV82" s="214">
        <v>15</v>
      </c>
      <c r="CW82" s="214"/>
      <c r="CX82" s="259"/>
    </row>
    <row r="83" spans="1:119" x14ac:dyDescent="0.25">
      <c r="A83" s="225"/>
      <c r="B83" s="250" t="s">
        <v>178</v>
      </c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70"/>
      <c r="AB83" s="170"/>
      <c r="AC83" s="170"/>
      <c r="AD83" s="170"/>
      <c r="AE83" s="170"/>
      <c r="AF83" s="170"/>
      <c r="AG83" s="170"/>
      <c r="AH83" s="170"/>
      <c r="AI83" s="15">
        <v>-1.4</v>
      </c>
      <c r="AJ83" s="15">
        <v>-6.8</v>
      </c>
      <c r="AK83" s="15">
        <v>-5.8</v>
      </c>
      <c r="AL83" s="15">
        <v>-5.9</v>
      </c>
      <c r="AM83" s="15">
        <v>-5.8</v>
      </c>
      <c r="AN83" s="15">
        <v>-19.3</v>
      </c>
      <c r="AO83" s="15">
        <v>-43.9</v>
      </c>
      <c r="AP83" s="15">
        <v>-55.7</v>
      </c>
      <c r="AQ83" s="15">
        <v>-29.9</v>
      </c>
      <c r="AR83" s="15">
        <v>-47.8</v>
      </c>
      <c r="AS83" s="15">
        <v>-46.5</v>
      </c>
      <c r="AT83" s="15">
        <v>-21.1</v>
      </c>
      <c r="AU83" s="15">
        <v>-32</v>
      </c>
      <c r="AV83" s="15">
        <f>-47.2</f>
        <v>-47.2</v>
      </c>
      <c r="AW83" s="15">
        <v>-29.9</v>
      </c>
      <c r="AX83" s="15">
        <v>-38</v>
      </c>
      <c r="AY83" s="14">
        <v>-43.5</v>
      </c>
      <c r="AZ83" s="15">
        <f>-84.8-AY83</f>
        <v>-41.3</v>
      </c>
      <c r="BA83" s="15">
        <v>-47.2</v>
      </c>
      <c r="BB83" s="16">
        <v>-42.5</v>
      </c>
      <c r="BC83" s="29">
        <v>-6.2</v>
      </c>
      <c r="BD83" s="30">
        <f>-28.7-BC83</f>
        <v>-22.5</v>
      </c>
      <c r="BE83" s="30">
        <v>-9.9</v>
      </c>
      <c r="BF83" s="31">
        <v>-59.8</v>
      </c>
      <c r="BG83" s="29">
        <v>-59.1</v>
      </c>
      <c r="BH83" s="30">
        <v>-40.799999999999997</v>
      </c>
      <c r="BI83" s="8">
        <v>-79.400000000000006</v>
      </c>
      <c r="BJ83" s="30">
        <v>-15</v>
      </c>
      <c r="BK83" s="210">
        <v>-23.1</v>
      </c>
      <c r="BL83" s="221">
        <v>-46.4</v>
      </c>
      <c r="BM83" s="221">
        <v>-66.900000000000006</v>
      </c>
      <c r="BN83" s="222">
        <v>-53</v>
      </c>
      <c r="BO83" s="210">
        <v>-22.6</v>
      </c>
      <c r="BP83" s="221">
        <v>-25.7</v>
      </c>
      <c r="BQ83" s="221">
        <v>-16</v>
      </c>
      <c r="BR83" s="221">
        <v>35.4</v>
      </c>
      <c r="BS83" s="210">
        <v>-6</v>
      </c>
      <c r="BT83" s="221">
        <v>-8.1</v>
      </c>
      <c r="BU83" s="221">
        <v>-9</v>
      </c>
      <c r="BV83" s="222">
        <f>-10.9-0.1</f>
        <v>-11</v>
      </c>
      <c r="BW83" s="213">
        <v>-9</v>
      </c>
      <c r="BX83" s="214">
        <v>-9</v>
      </c>
      <c r="BY83" s="214">
        <v>-42</v>
      </c>
      <c r="BZ83" s="214">
        <v>-55</v>
      </c>
      <c r="CA83" s="213">
        <v>-11</v>
      </c>
      <c r="CB83" s="214">
        <v>-12</v>
      </c>
      <c r="CC83" s="214">
        <v>-12</v>
      </c>
      <c r="CD83" s="259">
        <v>-11</v>
      </c>
      <c r="CE83" s="213">
        <v>-6</v>
      </c>
      <c r="CF83" s="214">
        <v>0</v>
      </c>
      <c r="CG83" s="214">
        <v>-7</v>
      </c>
      <c r="CH83" s="259">
        <v>-9</v>
      </c>
      <c r="CI83" s="213">
        <v>-11</v>
      </c>
      <c r="CJ83" s="214">
        <v>-12</v>
      </c>
      <c r="CK83" s="214">
        <v>-12</v>
      </c>
      <c r="CL83" s="259">
        <v>-9</v>
      </c>
      <c r="CM83" s="213">
        <v>-7</v>
      </c>
      <c r="CN83" s="214">
        <v>-9</v>
      </c>
      <c r="CO83" s="214">
        <v>-8</v>
      </c>
      <c r="CP83" s="259">
        <v>-10</v>
      </c>
      <c r="CQ83" s="213">
        <v>-6</v>
      </c>
      <c r="CR83" s="214">
        <v>-10</v>
      </c>
      <c r="CS83" s="214">
        <v>-8</v>
      </c>
      <c r="CT83" s="259">
        <v>-5</v>
      </c>
      <c r="CU83" s="213">
        <v>-9</v>
      </c>
      <c r="CV83" s="214">
        <v>-9</v>
      </c>
      <c r="CW83" s="214"/>
      <c r="CX83" s="259"/>
    </row>
    <row r="84" spans="1:119" x14ac:dyDescent="0.25">
      <c r="A84" s="225"/>
      <c r="B84" s="250" t="s">
        <v>69</v>
      </c>
      <c r="C84" s="30">
        <v>-106.3</v>
      </c>
      <c r="D84" s="30">
        <v>-111.7</v>
      </c>
      <c r="E84" s="30">
        <v>-117.2</v>
      </c>
      <c r="F84" s="30">
        <v>-88</v>
      </c>
      <c r="G84" s="30">
        <v>-73.7</v>
      </c>
      <c r="H84" s="30">
        <v>-8.5</v>
      </c>
      <c r="I84" s="30">
        <v>24</v>
      </c>
      <c r="J84" s="30">
        <v>15.5</v>
      </c>
      <c r="K84" s="30">
        <v>14.5</v>
      </c>
      <c r="L84" s="30">
        <v>32.1</v>
      </c>
      <c r="M84" s="30">
        <v>15.7</v>
      </c>
      <c r="N84" s="30">
        <v>-1.4</v>
      </c>
      <c r="O84" s="30">
        <v>37.799999999999997</v>
      </c>
      <c r="P84" s="30">
        <v>45</v>
      </c>
      <c r="Q84" s="30">
        <v>36.799999999999997</v>
      </c>
      <c r="R84" s="30">
        <v>-20.100000000000001</v>
      </c>
      <c r="S84" s="30">
        <v>-9.5</v>
      </c>
      <c r="T84" s="30">
        <v>-73.7</v>
      </c>
      <c r="U84" s="30">
        <v>-106.9</v>
      </c>
      <c r="V84" s="30">
        <v>-62.9</v>
      </c>
      <c r="W84" s="30">
        <v>-61.6</v>
      </c>
      <c r="X84" s="30">
        <v>-97.3</v>
      </c>
      <c r="Y84" s="30">
        <v>-104</v>
      </c>
      <c r="Z84" s="30">
        <v>-126.1</v>
      </c>
      <c r="AA84" s="15">
        <v>-126.8</v>
      </c>
      <c r="AB84" s="15">
        <v>-143.1</v>
      </c>
      <c r="AC84" s="15">
        <v>-32.5</v>
      </c>
      <c r="AD84" s="15">
        <v>-45.9</v>
      </c>
      <c r="AE84" s="15">
        <v>-206.3</v>
      </c>
      <c r="AF84" s="15">
        <v>-79</v>
      </c>
      <c r="AG84" s="15">
        <f>-4.1-37.2</f>
        <v>-41.300000000000004</v>
      </c>
      <c r="AH84" s="15">
        <f>-28.1-17.6</f>
        <v>-45.7</v>
      </c>
      <c r="AI84" s="15">
        <f>-7+4.8</f>
        <v>-2.2000000000000002</v>
      </c>
      <c r="AJ84" s="15">
        <f>-44.2-3.2</f>
        <v>-47.400000000000006</v>
      </c>
      <c r="AK84" s="15">
        <f>20.7+13.1</f>
        <v>33.799999999999997</v>
      </c>
      <c r="AL84" s="15">
        <f>120.6-2.6</f>
        <v>118</v>
      </c>
      <c r="AM84" s="15">
        <f>-44.8-1</f>
        <v>-45.8</v>
      </c>
      <c r="AN84" s="15">
        <f>-57.6-0.1</f>
        <v>-57.7</v>
      </c>
      <c r="AO84" s="15">
        <f>-31.1-113.9</f>
        <v>-145</v>
      </c>
      <c r="AP84" s="15">
        <f>-39.5-187.6</f>
        <v>-227.1</v>
      </c>
      <c r="AQ84" s="15">
        <f>337.6-67.3</f>
        <v>270.3</v>
      </c>
      <c r="AR84" s="15">
        <f>-44.1-113.9</f>
        <v>-158</v>
      </c>
      <c r="AS84" s="15">
        <f>-52.1-103.5</f>
        <v>-155.6</v>
      </c>
      <c r="AT84" s="15">
        <f>-34-21.6</f>
        <v>-55.6</v>
      </c>
      <c r="AU84" s="15">
        <f>-48.8-30.1</f>
        <v>-78.900000000000006</v>
      </c>
      <c r="AV84" s="15">
        <f>-101.8-13.3</f>
        <v>-115.1</v>
      </c>
      <c r="AW84" s="15">
        <f>-40.8-19.1</f>
        <v>-59.9</v>
      </c>
      <c r="AX84" s="15">
        <f>-82.1+80.8</f>
        <v>-1.2999999999999972</v>
      </c>
      <c r="AY84" s="14">
        <f>17.8-96.8</f>
        <v>-79</v>
      </c>
      <c r="AZ84" s="15">
        <f>-187.4+19.4-AY84</f>
        <v>-89</v>
      </c>
      <c r="BA84" s="15">
        <f>-56.8+52.9</f>
        <v>-3.8999999999999986</v>
      </c>
      <c r="BB84" s="16">
        <f>-135.4-1</f>
        <v>-136.4</v>
      </c>
      <c r="BC84" s="29">
        <v>23.4</v>
      </c>
      <c r="BD84" s="30">
        <f>-3.2-16.9-BC84</f>
        <v>-43.5</v>
      </c>
      <c r="BE84" s="30">
        <v>-22.1</v>
      </c>
      <c r="BF84" s="31">
        <f>-99.8+39.4</f>
        <v>-60.4</v>
      </c>
      <c r="BG84" s="29">
        <f>-157+44.6</f>
        <v>-112.4</v>
      </c>
      <c r="BH84" s="30">
        <f>-51.2-50.4</f>
        <v>-101.6</v>
      </c>
      <c r="BI84" s="8">
        <v>-237.5</v>
      </c>
      <c r="BJ84" s="30">
        <f>-119</f>
        <v>-119</v>
      </c>
      <c r="BK84" s="210">
        <v>-6.3</v>
      </c>
      <c r="BL84" s="221">
        <v>-45.7</v>
      </c>
      <c r="BM84" s="221">
        <v>-130</v>
      </c>
      <c r="BN84" s="222">
        <v>-106.6</v>
      </c>
      <c r="BO84" s="210">
        <v>-2.2999999999999998</v>
      </c>
      <c r="BP84" s="221">
        <v>49.9</v>
      </c>
      <c r="BQ84" s="221">
        <v>15.5</v>
      </c>
      <c r="BR84" s="221">
        <v>174.7</v>
      </c>
      <c r="BS84" s="210">
        <v>189.5</v>
      </c>
      <c r="BT84" s="221">
        <v>124.1</v>
      </c>
      <c r="BU84" s="221">
        <v>96</v>
      </c>
      <c r="BV84" s="222">
        <v>-264.7</v>
      </c>
      <c r="BW84" s="213">
        <v>10</v>
      </c>
      <c r="BX84" s="214">
        <v>-65</v>
      </c>
      <c r="BY84" s="214">
        <v>-147</v>
      </c>
      <c r="BZ84" s="214">
        <v>-111</v>
      </c>
      <c r="CA84" s="213">
        <v>-12</v>
      </c>
      <c r="CB84" s="214">
        <v>2</v>
      </c>
      <c r="CC84" s="214">
        <v>-20</v>
      </c>
      <c r="CD84" s="259">
        <v>1175</v>
      </c>
      <c r="CE84" s="213">
        <v>24</v>
      </c>
      <c r="CF84" s="214">
        <v>11</v>
      </c>
      <c r="CG84" s="214">
        <v>23</v>
      </c>
      <c r="CH84" s="259">
        <v>-244</v>
      </c>
      <c r="CI84" s="213">
        <v>-7</v>
      </c>
      <c r="CJ84" s="214">
        <v>-667</v>
      </c>
      <c r="CK84" s="214">
        <v>-5</v>
      </c>
      <c r="CL84" s="259">
        <v>110</v>
      </c>
      <c r="CM84" s="213">
        <v>-322</v>
      </c>
      <c r="CN84" s="214">
        <v>-19</v>
      </c>
      <c r="CO84" s="214">
        <v>81</v>
      </c>
      <c r="CP84" s="259">
        <v>-161</v>
      </c>
      <c r="CQ84" s="213">
        <v>-1078</v>
      </c>
      <c r="CR84" s="214">
        <v>982</v>
      </c>
      <c r="CS84" s="214">
        <v>-39</v>
      </c>
      <c r="CT84" s="259">
        <v>714</v>
      </c>
      <c r="CU84" s="213">
        <v>-34</v>
      </c>
      <c r="CV84" s="214">
        <v>-26</v>
      </c>
      <c r="CW84" s="214"/>
      <c r="CX84" s="259"/>
    </row>
    <row r="85" spans="1:119" s="1" customFormat="1" ht="15.75" thickBot="1" x14ac:dyDescent="0.3">
      <c r="A85" s="306"/>
      <c r="B85" s="303" t="s">
        <v>70</v>
      </c>
      <c r="C85" s="80">
        <f>SUM(C80:C84)</f>
        <v>190.99999999999994</v>
      </c>
      <c r="D85" s="80">
        <f t="shared" ref="D85:BL85" si="167">SUM(D80:D84)</f>
        <v>187.09999999999997</v>
      </c>
      <c r="E85" s="80">
        <f t="shared" si="167"/>
        <v>217.7</v>
      </c>
      <c r="F85" s="80">
        <f t="shared" si="167"/>
        <v>182.69999999999993</v>
      </c>
      <c r="G85" s="80">
        <f t="shared" si="167"/>
        <v>164.8</v>
      </c>
      <c r="H85" s="80">
        <f t="shared" si="167"/>
        <v>35.499999999999979</v>
      </c>
      <c r="I85" s="80">
        <f t="shared" si="167"/>
        <v>15.199999999999955</v>
      </c>
      <c r="J85" s="80">
        <f t="shared" si="167"/>
        <v>-0.30000000000000249</v>
      </c>
      <c r="K85" s="80">
        <f t="shared" si="167"/>
        <v>14.400000000000023</v>
      </c>
      <c r="L85" s="80">
        <f t="shared" si="167"/>
        <v>-23.500000000000043</v>
      </c>
      <c r="M85" s="80">
        <f t="shared" si="167"/>
        <v>-0.10000000000002274</v>
      </c>
      <c r="N85" s="80">
        <f t="shared" si="167"/>
        <v>23.000000000000071</v>
      </c>
      <c r="O85" s="80">
        <f t="shared" si="167"/>
        <v>-45.2</v>
      </c>
      <c r="P85" s="80">
        <f t="shared" si="167"/>
        <v>-38</v>
      </c>
      <c r="Q85" s="80">
        <f t="shared" si="167"/>
        <v>-37.400000000000048</v>
      </c>
      <c r="R85" s="80">
        <f t="shared" si="167"/>
        <v>46.29999999999999</v>
      </c>
      <c r="S85" s="80">
        <f t="shared" si="167"/>
        <v>28.799999999999955</v>
      </c>
      <c r="T85" s="80">
        <f t="shared" si="167"/>
        <v>128.59999999999997</v>
      </c>
      <c r="U85" s="80">
        <f t="shared" si="167"/>
        <v>201.39999999999989</v>
      </c>
      <c r="V85" s="80">
        <f t="shared" si="167"/>
        <v>182.99999999999991</v>
      </c>
      <c r="W85" s="80">
        <f t="shared" si="167"/>
        <v>198.3000000000001</v>
      </c>
      <c r="X85" s="80">
        <f t="shared" si="167"/>
        <v>207.59999999999991</v>
      </c>
      <c r="Y85" s="80">
        <f t="shared" si="167"/>
        <v>199.10000000000002</v>
      </c>
      <c r="Z85" s="80">
        <f t="shared" si="167"/>
        <v>232.60000000000005</v>
      </c>
      <c r="AA85" s="81">
        <f t="shared" si="167"/>
        <v>253.8</v>
      </c>
      <c r="AB85" s="81">
        <f t="shared" si="167"/>
        <v>262.39999999999998</v>
      </c>
      <c r="AC85" s="81">
        <f t="shared" si="167"/>
        <v>42.900000000000006</v>
      </c>
      <c r="AD85" s="81">
        <f t="shared" si="167"/>
        <v>176.1</v>
      </c>
      <c r="AE85" s="81">
        <f t="shared" si="167"/>
        <v>364.2999999999999</v>
      </c>
      <c r="AF85" s="81">
        <f t="shared" si="167"/>
        <v>189.50000000000006</v>
      </c>
      <c r="AG85" s="81">
        <f t="shared" si="167"/>
        <v>86.799999999999898</v>
      </c>
      <c r="AH85" s="81">
        <f t="shared" si="167"/>
        <v>149.60000000000002</v>
      </c>
      <c r="AI85" s="81">
        <f t="shared" si="167"/>
        <v>-131.09999999999997</v>
      </c>
      <c r="AJ85" s="81">
        <f t="shared" si="167"/>
        <v>67.200000000000017</v>
      </c>
      <c r="AK85" s="81">
        <f t="shared" si="167"/>
        <v>-36.200000000000045</v>
      </c>
      <c r="AL85" s="81">
        <f t="shared" si="167"/>
        <v>-169.3</v>
      </c>
      <c r="AM85" s="81">
        <f t="shared" si="167"/>
        <v>70.799999999999898</v>
      </c>
      <c r="AN85" s="81">
        <f t="shared" si="167"/>
        <v>172.7999999999999</v>
      </c>
      <c r="AO85" s="81">
        <f t="shared" si="167"/>
        <v>330.20000000000005</v>
      </c>
      <c r="AP85" s="81">
        <f t="shared" si="167"/>
        <v>409.49999999999989</v>
      </c>
      <c r="AQ85" s="81">
        <f t="shared" si="167"/>
        <v>600.20000000000005</v>
      </c>
      <c r="AR85" s="81">
        <f t="shared" si="167"/>
        <v>413.40000000000009</v>
      </c>
      <c r="AS85" s="81">
        <f t="shared" si="167"/>
        <v>416.29999999999984</v>
      </c>
      <c r="AT85" s="81">
        <f t="shared" si="167"/>
        <v>185.7</v>
      </c>
      <c r="AU85" s="81">
        <f t="shared" si="167"/>
        <v>235.89999999999995</v>
      </c>
      <c r="AV85" s="81">
        <f t="shared" si="167"/>
        <v>317.99999999999989</v>
      </c>
      <c r="AW85" s="81">
        <f t="shared" si="167"/>
        <v>202.99999999999997</v>
      </c>
      <c r="AX85" s="81">
        <f t="shared" si="167"/>
        <v>249.99999999999994</v>
      </c>
      <c r="AY85" s="82">
        <f t="shared" si="167"/>
        <v>216</v>
      </c>
      <c r="AZ85" s="81">
        <f t="shared" si="167"/>
        <v>235.7</v>
      </c>
      <c r="BA85" s="81">
        <f t="shared" si="167"/>
        <v>51.999999999999879</v>
      </c>
      <c r="BB85" s="83">
        <f t="shared" si="167"/>
        <v>335</v>
      </c>
      <c r="BC85" s="84">
        <f t="shared" si="167"/>
        <v>-76.099999999999994</v>
      </c>
      <c r="BD85" s="80">
        <f t="shared" si="167"/>
        <v>209.49999999999966</v>
      </c>
      <c r="BE85" s="80">
        <f t="shared" si="167"/>
        <v>47.799999999999905</v>
      </c>
      <c r="BF85" s="85">
        <f t="shared" si="167"/>
        <v>322.40000000000003</v>
      </c>
      <c r="BG85" s="84">
        <f t="shared" si="167"/>
        <v>254.6</v>
      </c>
      <c r="BH85" s="80">
        <f t="shared" si="167"/>
        <v>604.4000000000002</v>
      </c>
      <c r="BI85" s="80">
        <f t="shared" si="167"/>
        <v>374.00000000000011</v>
      </c>
      <c r="BJ85" s="80">
        <f t="shared" si="167"/>
        <v>381.79999999999984</v>
      </c>
      <c r="BK85" s="118">
        <f t="shared" si="167"/>
        <v>89.8</v>
      </c>
      <c r="BL85" s="119">
        <f t="shared" si="167"/>
        <v>187.89999999999969</v>
      </c>
      <c r="BM85" s="119">
        <f t="shared" ref="BM85:BR85" si="168">SUM(BM80:BM84)</f>
        <v>301.29999999999995</v>
      </c>
      <c r="BN85" s="120">
        <f t="shared" si="168"/>
        <v>378.50000000000023</v>
      </c>
      <c r="BO85" s="118">
        <f t="shared" si="168"/>
        <v>106.10000000000004</v>
      </c>
      <c r="BP85" s="119">
        <f t="shared" si="168"/>
        <v>54.299999999999827</v>
      </c>
      <c r="BQ85" s="119">
        <f t="shared" si="168"/>
        <v>-29.099999999999795</v>
      </c>
      <c r="BR85" s="119">
        <f t="shared" si="168"/>
        <v>163.7000000000001</v>
      </c>
      <c r="BS85" s="118">
        <f t="shared" ref="BS85:BX85" si="169">SUM(BS80:BS84)</f>
        <v>-588.4000000000002</v>
      </c>
      <c r="BT85" s="119">
        <f t="shared" si="169"/>
        <v>-353.6</v>
      </c>
      <c r="BU85" s="119">
        <f t="shared" si="169"/>
        <v>-123.99999999999989</v>
      </c>
      <c r="BV85" s="120">
        <f t="shared" si="169"/>
        <v>-443.10000000000025</v>
      </c>
      <c r="BW85" s="419">
        <f t="shared" si="169"/>
        <v>-99</v>
      </c>
      <c r="BX85" s="418">
        <f t="shared" si="169"/>
        <v>-43</v>
      </c>
      <c r="BY85" s="418">
        <f t="shared" ref="BY85:BZ85" si="170">SUM(BY80:BY84)</f>
        <v>748</v>
      </c>
      <c r="BZ85" s="418">
        <f t="shared" si="170"/>
        <v>609</v>
      </c>
      <c r="CA85" s="419">
        <f t="shared" ref="CA85:CB85" si="171">SUM(CA80:CA84)</f>
        <v>37</v>
      </c>
      <c r="CB85" s="418">
        <f t="shared" si="171"/>
        <v>-6</v>
      </c>
      <c r="CC85" s="418">
        <f t="shared" ref="CC85:CF85" si="172">SUM(CC80:CC84)</f>
        <v>55</v>
      </c>
      <c r="CD85" s="465">
        <f t="shared" si="172"/>
        <v>-2380</v>
      </c>
      <c r="CE85" s="419">
        <f t="shared" si="172"/>
        <v>-603</v>
      </c>
      <c r="CF85" s="418">
        <f t="shared" si="172"/>
        <v>-1162</v>
      </c>
      <c r="CG85" s="418">
        <f t="shared" ref="CG85:CJ85" si="173">SUM(CG80:CG84)</f>
        <v>-694</v>
      </c>
      <c r="CH85" s="465">
        <f t="shared" si="173"/>
        <v>-362</v>
      </c>
      <c r="CI85" s="419">
        <f>SUM(CI80:CI84)</f>
        <v>-260</v>
      </c>
      <c r="CJ85" s="418">
        <f t="shared" si="173"/>
        <v>-580</v>
      </c>
      <c r="CK85" s="418">
        <f t="shared" ref="CK85:CL85" si="174">SUM(CK80:CK84)</f>
        <v>-40</v>
      </c>
      <c r="CL85" s="465">
        <f t="shared" si="174"/>
        <v>-2072</v>
      </c>
      <c r="CM85" s="419">
        <f>SUM(CM80:CM84)</f>
        <v>-849</v>
      </c>
      <c r="CN85" s="418">
        <f t="shared" ref="CN85:CP85" si="175">SUM(CN80:CN84)</f>
        <v>-407</v>
      </c>
      <c r="CO85" s="418">
        <f t="shared" si="175"/>
        <v>-279</v>
      </c>
      <c r="CP85" s="465">
        <f t="shared" si="175"/>
        <v>-114</v>
      </c>
      <c r="CQ85" s="419">
        <f>SUM(CQ80:CQ84)</f>
        <v>-1284</v>
      </c>
      <c r="CR85" s="418">
        <f t="shared" ref="CR85:CT85" si="176">SUM(CR80:CR84)</f>
        <v>823</v>
      </c>
      <c r="CS85" s="418">
        <f t="shared" si="176"/>
        <v>-239</v>
      </c>
      <c r="CT85" s="465">
        <f t="shared" si="176"/>
        <v>-3599</v>
      </c>
      <c r="CU85" s="419">
        <f>SUM(CU80:CU84)</f>
        <v>97</v>
      </c>
      <c r="CV85" s="418">
        <f t="shared" ref="CV85:CX85" si="177">SUM(CV80:CV84)</f>
        <v>-52</v>
      </c>
      <c r="CW85" s="418">
        <f t="shared" si="177"/>
        <v>0</v>
      </c>
      <c r="CX85" s="465">
        <f t="shared" si="177"/>
        <v>0</v>
      </c>
      <c r="CY85" s="347"/>
      <c r="CZ85" s="347"/>
      <c r="DA85" s="347"/>
      <c r="DB85" s="347"/>
      <c r="DC85" s="347"/>
      <c r="DD85" s="347"/>
      <c r="DE85" s="347"/>
      <c r="DF85" s="347"/>
      <c r="DG85" s="347"/>
      <c r="DH85" s="347"/>
      <c r="DI85" s="347"/>
      <c r="DJ85" s="347"/>
      <c r="DK85" s="347"/>
      <c r="DL85" s="347"/>
      <c r="DM85" s="347"/>
      <c r="DN85" s="347"/>
      <c r="DO85" s="347"/>
    </row>
    <row r="86" spans="1:119" ht="16.5" thickTop="1" x14ac:dyDescent="0.25">
      <c r="A86" s="225"/>
      <c r="B86" s="308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10"/>
      <c r="AZ86" s="8"/>
      <c r="BA86" s="8"/>
      <c r="BB86" s="9"/>
      <c r="BC86" s="34"/>
      <c r="BD86" s="32"/>
      <c r="BE86" s="32"/>
      <c r="BF86" s="33"/>
      <c r="BG86" s="34"/>
      <c r="BH86" s="32"/>
      <c r="BI86" s="8"/>
      <c r="BK86" s="225"/>
      <c r="BL86" s="208"/>
      <c r="BM86" s="208"/>
      <c r="BN86" s="227"/>
      <c r="BO86" s="225"/>
      <c r="BP86" s="208"/>
      <c r="BQ86" s="208"/>
      <c r="BR86" s="208"/>
      <c r="BS86" s="225"/>
      <c r="BT86" s="208"/>
      <c r="BU86" s="208"/>
      <c r="BV86" s="227"/>
      <c r="BW86" s="208"/>
      <c r="BX86" s="208"/>
      <c r="BY86" s="208"/>
      <c r="BZ86" s="208"/>
      <c r="CA86" s="225"/>
      <c r="CB86" s="208"/>
      <c r="CC86" s="208"/>
      <c r="CD86" s="227"/>
      <c r="CE86" s="225"/>
      <c r="CF86" s="208"/>
      <c r="CG86" s="208"/>
      <c r="CH86" s="227"/>
      <c r="CI86" s="225"/>
      <c r="CJ86" s="208"/>
      <c r="CK86" s="208"/>
      <c r="CL86" s="227"/>
      <c r="CM86" s="225"/>
      <c r="CN86" s="208"/>
      <c r="CO86" s="208"/>
      <c r="CP86" s="227"/>
      <c r="CQ86" s="225"/>
      <c r="CR86" s="208"/>
      <c r="CS86" s="208"/>
      <c r="CT86" s="227"/>
      <c r="CU86" s="225"/>
      <c r="CV86" s="208"/>
      <c r="CW86" s="208"/>
      <c r="CX86" s="227"/>
    </row>
    <row r="87" spans="1:119" x14ac:dyDescent="0.25">
      <c r="A87" s="225"/>
      <c r="B87" s="292" t="s">
        <v>71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10"/>
      <c r="AZ87" s="8"/>
      <c r="BA87" s="8"/>
      <c r="BB87" s="9"/>
      <c r="BC87" s="34"/>
      <c r="BD87" s="32"/>
      <c r="BE87" s="32"/>
      <c r="BF87" s="33"/>
      <c r="BG87" s="34"/>
      <c r="BH87" s="32"/>
      <c r="BI87" s="8"/>
      <c r="BK87" s="225"/>
      <c r="BL87" s="208"/>
      <c r="BM87" s="208"/>
      <c r="BN87" s="227"/>
      <c r="BO87" s="225"/>
      <c r="BP87" s="208"/>
      <c r="BQ87" s="208"/>
      <c r="BR87" s="208"/>
      <c r="BS87" s="225"/>
      <c r="BT87" s="208"/>
      <c r="BU87" s="208"/>
      <c r="BV87" s="227"/>
      <c r="BW87" s="208"/>
      <c r="BX87" s="208"/>
      <c r="BY87" s="208"/>
      <c r="BZ87" s="208"/>
      <c r="CA87" s="225"/>
      <c r="CB87" s="208"/>
      <c r="CC87" s="208"/>
      <c r="CD87" s="227"/>
      <c r="CE87" s="225"/>
      <c r="CF87" s="208"/>
      <c r="CG87" s="208"/>
      <c r="CH87" s="227"/>
      <c r="CI87" s="225"/>
      <c r="CJ87" s="208"/>
      <c r="CK87" s="208"/>
      <c r="CL87" s="227"/>
      <c r="CM87" s="225"/>
      <c r="CN87" s="208"/>
      <c r="CO87" s="208"/>
      <c r="CP87" s="227"/>
      <c r="CQ87" s="225"/>
      <c r="CR87" s="208"/>
      <c r="CS87" s="208"/>
      <c r="CT87" s="227"/>
      <c r="CU87" s="225"/>
      <c r="CV87" s="208"/>
      <c r="CW87" s="208"/>
      <c r="CX87" s="227"/>
    </row>
    <row r="88" spans="1:119" x14ac:dyDescent="0.25">
      <c r="A88" s="225"/>
      <c r="B88" s="227" t="s">
        <v>72</v>
      </c>
      <c r="C88" s="32">
        <f>((+C78+C77)*(1000000)/(C66))</f>
        <v>101170.46445025525</v>
      </c>
      <c r="D88" s="32">
        <f>((+D78+D77)*(1000000)/(8444))</f>
        <v>96553.765987683568</v>
      </c>
      <c r="E88" s="32">
        <f>+E78*(1000000)/(9062)</f>
        <v>104767.15956742442</v>
      </c>
      <c r="F88" s="32">
        <f t="shared" ref="F88:AY88" si="178">+F78*(1000000)/(F66)</f>
        <v>100482.77375466315</v>
      </c>
      <c r="G88" s="32">
        <f t="shared" si="178"/>
        <v>95166.163141993951</v>
      </c>
      <c r="H88" s="32">
        <f t="shared" si="178"/>
        <v>86656.764451045921</v>
      </c>
      <c r="I88" s="32">
        <f t="shared" si="178"/>
        <v>86242.802891093961</v>
      </c>
      <c r="J88" s="32">
        <f t="shared" si="178"/>
        <v>85104.318292091222</v>
      </c>
      <c r="K88" s="32">
        <f t="shared" si="178"/>
        <v>88632.577213892087</v>
      </c>
      <c r="L88" s="32">
        <f t="shared" si="178"/>
        <v>83033.610318739928</v>
      </c>
      <c r="M88" s="32">
        <f t="shared" si="178"/>
        <v>81743.63921379477</v>
      </c>
      <c r="N88" s="32">
        <f t="shared" si="178"/>
        <v>84530.766586455822</v>
      </c>
      <c r="O88" s="32">
        <f t="shared" si="178"/>
        <v>81989.541529855283</v>
      </c>
      <c r="P88" s="32">
        <f t="shared" si="178"/>
        <v>88410.548823948688</v>
      </c>
      <c r="Q88" s="32">
        <f t="shared" si="178"/>
        <v>91431.095406360429</v>
      </c>
      <c r="R88" s="32">
        <f t="shared" si="178"/>
        <v>100967.29031436935</v>
      </c>
      <c r="S88" s="32">
        <f t="shared" si="178"/>
        <v>109223.60248447205</v>
      </c>
      <c r="T88" s="32">
        <f t="shared" si="178"/>
        <v>129359.67302452316</v>
      </c>
      <c r="U88" s="32">
        <f t="shared" si="178"/>
        <v>141820.10862365874</v>
      </c>
      <c r="V88" s="32">
        <f t="shared" si="178"/>
        <v>144422.75515895148</v>
      </c>
      <c r="W88" s="32">
        <f t="shared" si="178"/>
        <v>151015.63641677628</v>
      </c>
      <c r="X88" s="32">
        <f t="shared" si="178"/>
        <v>152191.56980815012</v>
      </c>
      <c r="Y88" s="32">
        <f t="shared" si="178"/>
        <v>154925.53627544746</v>
      </c>
      <c r="Z88" s="32">
        <f t="shared" si="178"/>
        <v>169508.28806240423</v>
      </c>
      <c r="AA88" s="8">
        <f t="shared" si="178"/>
        <v>220135.5807988274</v>
      </c>
      <c r="AB88" s="8">
        <f t="shared" si="178"/>
        <v>224583.10919849382</v>
      </c>
      <c r="AC88" s="8">
        <f t="shared" si="178"/>
        <v>217511.80455758571</v>
      </c>
      <c r="AD88" s="8">
        <f t="shared" si="178"/>
        <v>254038.58384566463</v>
      </c>
      <c r="AE88" s="8">
        <f t="shared" si="178"/>
        <v>287939.32667406584</v>
      </c>
      <c r="AF88" s="8">
        <f t="shared" si="178"/>
        <v>250179.85611510792</v>
      </c>
      <c r="AG88" s="8">
        <f t="shared" si="178"/>
        <v>240605.09554140127</v>
      </c>
      <c r="AH88" s="8">
        <f t="shared" si="178"/>
        <v>262983.42541436467</v>
      </c>
      <c r="AI88" s="8">
        <f t="shared" si="178"/>
        <v>266477.27272727271</v>
      </c>
      <c r="AJ88" s="8">
        <f t="shared" si="178"/>
        <v>289082.16983291373</v>
      </c>
      <c r="AK88" s="8">
        <f t="shared" si="178"/>
        <v>287800.04949269985</v>
      </c>
      <c r="AL88" s="8">
        <f t="shared" si="178"/>
        <v>302346.34021933179</v>
      </c>
      <c r="AM88" s="8">
        <f t="shared" si="178"/>
        <v>312057.31278723979</v>
      </c>
      <c r="AN88" s="8">
        <f t="shared" si="178"/>
        <v>328041.33395960543</v>
      </c>
      <c r="AO88" s="8">
        <f t="shared" si="178"/>
        <v>389608.29493087559</v>
      </c>
      <c r="AP88" s="8">
        <f t="shared" si="178"/>
        <v>438143.33814333816</v>
      </c>
      <c r="AQ88" s="8">
        <f t="shared" si="178"/>
        <v>417476.53230259527</v>
      </c>
      <c r="AR88" s="8">
        <f t="shared" si="178"/>
        <v>421487.41418764304</v>
      </c>
      <c r="AS88" s="8">
        <f t="shared" si="178"/>
        <v>436079.67406066094</v>
      </c>
      <c r="AT88" s="8">
        <f t="shared" si="178"/>
        <v>480714.28571428574</v>
      </c>
      <c r="AU88" s="8">
        <f t="shared" si="178"/>
        <v>470372.47654250782</v>
      </c>
      <c r="AV88" s="8">
        <f t="shared" si="178"/>
        <v>435619.62334340852</v>
      </c>
      <c r="AW88" s="8">
        <f t="shared" si="178"/>
        <v>424752.72007912956</v>
      </c>
      <c r="AX88" s="8">
        <f t="shared" si="178"/>
        <v>415261.23936816526</v>
      </c>
      <c r="AY88" s="10">
        <f t="shared" si="178"/>
        <v>451604.62130937097</v>
      </c>
      <c r="AZ88" s="8">
        <f>+AZ78*(1000000)/(AZ66)</f>
        <v>435088.12615955475</v>
      </c>
      <c r="BA88" s="8">
        <f>+BA78*(1000000)/(BA66)</f>
        <v>442697.17624148005</v>
      </c>
      <c r="BB88" s="9">
        <f>+BB78*(1000000)/(BB66)</f>
        <v>433855.60025407578</v>
      </c>
      <c r="BC88" s="34">
        <f>+BC78*(1000000)/(BC66)</f>
        <v>459342.68833087152</v>
      </c>
      <c r="BD88" s="32">
        <f>+BD78*(1000000)/(BD66)-26</f>
        <v>462123.65286706085</v>
      </c>
      <c r="BE88" s="32">
        <f>+BE78*(1000000)/(BE66)</f>
        <v>469314.59707484941</v>
      </c>
      <c r="BF88" s="33">
        <f>+BF78*(1000000)/(BF66)</f>
        <v>505446.78714859439</v>
      </c>
      <c r="BG88" s="34">
        <f>+BG78*(1000000)/(BG66)</f>
        <v>599353.38768625248</v>
      </c>
      <c r="BH88" s="32">
        <f>+BH78*(1000000)/(BH66)+26</f>
        <v>607152.07674236491</v>
      </c>
      <c r="BI88" s="32">
        <f>+BI78*(1000000)/(BI66)</f>
        <v>597385.62091503269</v>
      </c>
      <c r="BJ88" s="32">
        <f>+BJ78*(1000000)/(BJ66)+4748</f>
        <v>539789.62330905301</v>
      </c>
      <c r="BK88" s="213">
        <f>+BK78*(1000000)/(BK66)-4899</f>
        <v>515263.19239373604</v>
      </c>
      <c r="BL88" s="214">
        <f>+BL78*(1000000)/(BL66)</f>
        <v>530913.5802469136</v>
      </c>
      <c r="BM88" s="214">
        <f>+BM78*(1000000)/(BM66)</f>
        <v>542412.19350563292</v>
      </c>
      <c r="BN88" s="259">
        <v>556041</v>
      </c>
      <c r="BO88" s="213">
        <f>+BO78*(1000000)/(BO66)</f>
        <v>511151.54665973486</v>
      </c>
      <c r="BP88" s="214">
        <f>+BP78*(1000000)/(BP66)</f>
        <v>531099.06357811729</v>
      </c>
      <c r="BQ88" s="214">
        <f>+BQ78*(1000000)/(BQ66)</f>
        <v>545855.5133079848</v>
      </c>
      <c r="BR88" s="214">
        <f>+BR78*(1000000)/(BR66-89)</f>
        <v>560259.50512975256</v>
      </c>
      <c r="BS88" s="213">
        <v>571505</v>
      </c>
      <c r="BT88" s="214">
        <v>598706</v>
      </c>
      <c r="BU88" s="214">
        <v>663583</v>
      </c>
      <c r="BV88" s="259">
        <v>657044</v>
      </c>
      <c r="BW88" s="214">
        <v>770727</v>
      </c>
      <c r="BX88" s="214">
        <v>900899</v>
      </c>
      <c r="BY88" s="214">
        <v>1001683</v>
      </c>
      <c r="BZ88" s="214">
        <v>928182</v>
      </c>
      <c r="CA88" s="213">
        <v>858364</v>
      </c>
      <c r="CB88" s="214">
        <v>819689</v>
      </c>
      <c r="CC88" s="214">
        <v>836066</v>
      </c>
      <c r="CD88" s="259">
        <v>883703</v>
      </c>
      <c r="CE88" s="213">
        <v>915543</v>
      </c>
      <c r="CF88" s="214">
        <v>1000000</v>
      </c>
      <c r="CG88" s="214">
        <v>944220</v>
      </c>
      <c r="CH88" s="259">
        <v>969962</v>
      </c>
      <c r="CI88" s="213">
        <v>1068710</v>
      </c>
      <c r="CJ88" s="214">
        <v>1185875</v>
      </c>
      <c r="CK88" s="214">
        <v>1153090</v>
      </c>
      <c r="CL88" s="259">
        <v>1185430</v>
      </c>
      <c r="CM88" s="213">
        <v>1253927</v>
      </c>
      <c r="CN88" s="214">
        <v>1390263</v>
      </c>
      <c r="CO88" s="214">
        <v>1396812</v>
      </c>
      <c r="CP88" s="259">
        <v>1413666</v>
      </c>
      <c r="CQ88" s="213">
        <v>1690678</v>
      </c>
      <c r="CR88" s="214">
        <v>1769981</v>
      </c>
      <c r="CS88" s="214">
        <v>1744483</v>
      </c>
      <c r="CT88" s="259">
        <v>1436556</v>
      </c>
      <c r="CU88" s="213">
        <v>2427822</v>
      </c>
      <c r="CV88" s="214">
        <v>2283679</v>
      </c>
      <c r="CW88" s="214"/>
      <c r="CX88" s="259"/>
    </row>
    <row r="89" spans="1:119" x14ac:dyDescent="0.25">
      <c r="A89" s="225"/>
      <c r="B89" s="227" t="s">
        <v>73</v>
      </c>
      <c r="C89" s="32">
        <f>+C88/(32.15074)/(C100)</f>
        <v>272.91880631206453</v>
      </c>
      <c r="D89" s="32">
        <f t="shared" ref="D89:BH89" si="179">+D88/(32.15074)/(D100)</f>
        <v>285.7429527989857</v>
      </c>
      <c r="E89" s="32">
        <f t="shared" si="179"/>
        <v>313.93290778106348</v>
      </c>
      <c r="F89" s="32">
        <f t="shared" si="179"/>
        <v>319.893987800628</v>
      </c>
      <c r="G89" s="32">
        <f t="shared" si="179"/>
        <v>353.22185586886252</v>
      </c>
      <c r="H89" s="32">
        <f t="shared" si="179"/>
        <v>348.23349009571592</v>
      </c>
      <c r="I89" s="32">
        <f t="shared" si="179"/>
        <v>360.54456544814468</v>
      </c>
      <c r="J89" s="32">
        <f t="shared" si="179"/>
        <v>391.57407254249563</v>
      </c>
      <c r="K89" s="32">
        <f t="shared" si="179"/>
        <v>406.00616676388779</v>
      </c>
      <c r="L89" s="32">
        <f t="shared" si="179"/>
        <v>391.30825754847103</v>
      </c>
      <c r="M89" s="32">
        <f t="shared" si="179"/>
        <v>399.76602284390606</v>
      </c>
      <c r="N89" s="32">
        <f t="shared" si="179"/>
        <v>429.60805140076968</v>
      </c>
      <c r="O89" s="32">
        <f t="shared" si="179"/>
        <v>428.59837375336542</v>
      </c>
      <c r="P89" s="32">
        <f t="shared" si="179"/>
        <v>430.34053459160202</v>
      </c>
      <c r="Q89" s="32">
        <f t="shared" si="179"/>
        <v>436.16956070310738</v>
      </c>
      <c r="R89" s="32">
        <f t="shared" si="179"/>
        <v>480.9241061968014</v>
      </c>
      <c r="S89" s="32">
        <f t="shared" si="179"/>
        <v>553.29551791002518</v>
      </c>
      <c r="T89" s="32">
        <f t="shared" si="179"/>
        <v>629.66141014259335</v>
      </c>
      <c r="U89" s="32">
        <f t="shared" si="179"/>
        <v>621.28159993924896</v>
      </c>
      <c r="V89" s="32">
        <f t="shared" si="179"/>
        <v>608.67896100768178</v>
      </c>
      <c r="W89" s="32">
        <f t="shared" si="179"/>
        <v>651.47188673788469</v>
      </c>
      <c r="X89" s="32">
        <f t="shared" si="179"/>
        <v>667.6569714823346</v>
      </c>
      <c r="Y89" s="32">
        <f t="shared" si="179"/>
        <v>678.69349405221885</v>
      </c>
      <c r="Z89" s="32">
        <f t="shared" si="179"/>
        <v>779.92576661612691</v>
      </c>
      <c r="AA89" s="8">
        <f t="shared" si="179"/>
        <v>919.05816498236595</v>
      </c>
      <c r="AB89" s="8">
        <f t="shared" si="179"/>
        <v>899.01119096236096</v>
      </c>
      <c r="AC89" s="8">
        <f t="shared" si="179"/>
        <v>874.07942493508483</v>
      </c>
      <c r="AD89" s="8">
        <f t="shared" si="179"/>
        <v>804.63185471267514</v>
      </c>
      <c r="AE89" s="8">
        <f t="shared" si="179"/>
        <v>901.90493421674353</v>
      </c>
      <c r="AF89" s="8">
        <f t="shared" si="179"/>
        <v>909.04964255989046</v>
      </c>
      <c r="AG89" s="8">
        <f t="shared" si="179"/>
        <v>956.989326866807</v>
      </c>
      <c r="AH89" s="8">
        <f t="shared" si="179"/>
        <v>1092.0828494434813</v>
      </c>
      <c r="AI89" s="8">
        <f t="shared" si="179"/>
        <v>1105.1161817831573</v>
      </c>
      <c r="AJ89" s="8">
        <f t="shared" si="179"/>
        <v>1197.2652995621718</v>
      </c>
      <c r="AK89" s="8">
        <f t="shared" si="179"/>
        <v>1216.2478249059532</v>
      </c>
      <c r="AL89" s="8">
        <f t="shared" si="179"/>
        <v>1358.9630491165415</v>
      </c>
      <c r="AM89" s="8">
        <f t="shared" si="179"/>
        <v>1390.5543512274787</v>
      </c>
      <c r="AN89" s="8">
        <f t="shared" si="179"/>
        <v>1504.9009004198051</v>
      </c>
      <c r="AO89" s="8">
        <f t="shared" si="179"/>
        <v>1718.8900763546201</v>
      </c>
      <c r="AP89" s="8">
        <f t="shared" si="179"/>
        <v>1686.6069229294326</v>
      </c>
      <c r="AQ89" s="8">
        <f t="shared" si="179"/>
        <v>1671.1678622833394</v>
      </c>
      <c r="AR89" s="8">
        <f t="shared" si="179"/>
        <v>1626.5169586958411</v>
      </c>
      <c r="AS89" s="8">
        <f t="shared" si="179"/>
        <v>1642.0819365904817</v>
      </c>
      <c r="AT89" s="8">
        <f t="shared" si="179"/>
        <v>1724.5546352849935</v>
      </c>
      <c r="AU89" s="8">
        <f t="shared" si="179"/>
        <v>1645.6943082742116</v>
      </c>
      <c r="AV89" s="8">
        <f t="shared" si="179"/>
        <v>1439.8817870885257</v>
      </c>
      <c r="AW89" s="8">
        <f t="shared" si="179"/>
        <v>1323.7764603085327</v>
      </c>
      <c r="AX89" s="8">
        <f t="shared" si="179"/>
        <v>1277.5540023217463</v>
      </c>
      <c r="AY89" s="10">
        <f t="shared" si="179"/>
        <v>1298.1956313738158</v>
      </c>
      <c r="AZ89" s="8">
        <f t="shared" si="179"/>
        <v>1285.1620325544427</v>
      </c>
      <c r="BA89" s="8">
        <f t="shared" si="179"/>
        <v>1284.4612093138471</v>
      </c>
      <c r="BB89" s="9">
        <f t="shared" si="179"/>
        <v>1204.8589601838864</v>
      </c>
      <c r="BC89" s="34">
        <f t="shared" si="179"/>
        <v>1221.1245785228714</v>
      </c>
      <c r="BD89" s="32">
        <f t="shared" si="179"/>
        <v>1190.8579330839007</v>
      </c>
      <c r="BE89" s="32">
        <f t="shared" si="179"/>
        <v>1122.8706664889048</v>
      </c>
      <c r="BF89" s="33">
        <f t="shared" si="179"/>
        <v>1106.3445200320639</v>
      </c>
      <c r="BG89" s="34">
        <f t="shared" si="179"/>
        <v>1180.6192525389797</v>
      </c>
      <c r="BH89" s="32">
        <f t="shared" si="179"/>
        <v>1261.4926113076654</v>
      </c>
      <c r="BI89" s="32">
        <f>+BI88/(32.15074)/(BI100)</f>
        <v>1321.5343952325422</v>
      </c>
      <c r="BJ89" s="32">
        <f>+BJ88/(32.15074)/(BJ100)-1</f>
        <v>1208.6064449319783</v>
      </c>
      <c r="BK89" s="213">
        <f>+BK88/(32.15074)/(BK100)</f>
        <v>1213.2081775047125</v>
      </c>
      <c r="BL89" s="214">
        <f>+BL88/(32.15074)/(BL100)</f>
        <v>1251.004666650949</v>
      </c>
      <c r="BM89" s="214">
        <f>+BM88/(32.15074)/(BM100)</f>
        <v>1280.0385829732252</v>
      </c>
      <c r="BN89" s="259">
        <f>+BN88/(32.15074)/(BN100)</f>
        <v>1268.878347527721</v>
      </c>
      <c r="BO89" s="213">
        <f>+BO88/(32.15074)/(BO100)</f>
        <v>1329.3138395494814</v>
      </c>
      <c r="BP89" s="214">
        <f>+BP88/(32.15074)/(BP100)-1</f>
        <v>1304.8522353723392</v>
      </c>
      <c r="BQ89" s="214">
        <f t="shared" ref="BQ89:BV89" si="180">+BQ88/(32.15074)/(BQ100)</f>
        <v>1208.3991290431088</v>
      </c>
      <c r="BR89" s="214">
        <f t="shared" si="180"/>
        <v>1217.7513682770063</v>
      </c>
      <c r="BS89" s="213">
        <f t="shared" si="180"/>
        <v>1268.7934432767001</v>
      </c>
      <c r="BT89" s="214">
        <f t="shared" si="180"/>
        <v>1294.0821393743292</v>
      </c>
      <c r="BU89" s="214">
        <f t="shared" si="180"/>
        <v>1406.9354234643336</v>
      </c>
      <c r="BV89" s="259">
        <f t="shared" si="180"/>
        <v>1388.3394691490093</v>
      </c>
      <c r="BW89" s="214">
        <f t="shared" ref="BW89:BX89" si="181">+BW88/(32.15074)/(BW100)</f>
        <v>1558.6667270055366</v>
      </c>
      <c r="BX89" s="214">
        <f t="shared" si="181"/>
        <v>1561.0638925099804</v>
      </c>
      <c r="BY89" s="214">
        <f t="shared" ref="BY89:BZ89" si="182">+BY88/(32.15074)/(BY100)</f>
        <v>1842.450048303599</v>
      </c>
      <c r="BZ89" s="214">
        <f t="shared" si="182"/>
        <v>1849.4358232839757</v>
      </c>
      <c r="CA89" s="213">
        <f t="shared" ref="CA89:CB89" si="183">+CA88/(32.15074)/(CA100)</f>
        <v>1784.6330357333213</v>
      </c>
      <c r="CB89" s="214">
        <f t="shared" si="183"/>
        <v>1804.3300073293585</v>
      </c>
      <c r="CC89" s="214">
        <f t="shared" ref="CC89:CF89" si="184">+CC88/(32.15074)/(CC100)</f>
        <v>1777.4822110176196</v>
      </c>
      <c r="CD89" s="259">
        <f t="shared" si="184"/>
        <v>1782.5059256956249</v>
      </c>
      <c r="CE89" s="213">
        <f t="shared" si="184"/>
        <v>1870.9971273239853</v>
      </c>
      <c r="CF89" s="214">
        <f t="shared" si="184"/>
        <v>1995.0919278168415</v>
      </c>
      <c r="CG89" s="214">
        <f t="shared" ref="CG89:CJ89" si="185">+CG88/(32.15074)/(CG100)</f>
        <v>1722.4944788444204</v>
      </c>
      <c r="CH89" s="259">
        <f t="shared" si="185"/>
        <v>1713.1855041263343</v>
      </c>
      <c r="CI89" s="213">
        <f t="shared" si="185"/>
        <v>1871.655601476439</v>
      </c>
      <c r="CJ89" s="214">
        <f t="shared" si="185"/>
        <v>1976.6796937855217</v>
      </c>
      <c r="CK89" s="214">
        <f t="shared" ref="CK89:CP89" si="186">+CK88/(32.15074)/(CK100)</f>
        <v>1929.2692517919395</v>
      </c>
      <c r="CL89" s="259">
        <f t="shared" si="186"/>
        <v>1976.9974282055769</v>
      </c>
      <c r="CM89" s="213">
        <f t="shared" si="186"/>
        <v>2067.9478961653799</v>
      </c>
      <c r="CN89" s="214">
        <f t="shared" si="186"/>
        <v>2328.5956812629734</v>
      </c>
      <c r="CO89" s="214">
        <f t="shared" si="186"/>
        <v>2419.0266432201174</v>
      </c>
      <c r="CP89" s="259">
        <f t="shared" si="186"/>
        <v>2459.1687146153258</v>
      </c>
      <c r="CQ89" s="213">
        <f t="shared" ref="CQ89:CT89" si="187">+CQ88/(32.15074)/(CQ100)</f>
        <v>2845.5614011343055</v>
      </c>
      <c r="CR89" s="214">
        <f t="shared" si="187"/>
        <v>3009.9821879484052</v>
      </c>
      <c r="CS89" s="214">
        <f t="shared" si="187"/>
        <v>3075.9352383275905</v>
      </c>
      <c r="CT89" s="259">
        <f t="shared" si="187"/>
        <v>2611.4491728072649</v>
      </c>
      <c r="CU89" s="213">
        <f t="shared" ref="CU89:CX89" si="188">+CU88/(32.15074)/(CU100)</f>
        <v>4621.402734364995</v>
      </c>
      <c r="CV89" s="214">
        <f t="shared" si="188"/>
        <v>4310.0953463083251</v>
      </c>
      <c r="CW89" s="214" t="e">
        <f t="shared" si="188"/>
        <v>#DIV/0!</v>
      </c>
      <c r="CX89" s="259" t="e">
        <f t="shared" si="188"/>
        <v>#DIV/0!</v>
      </c>
    </row>
    <row r="90" spans="1:119" x14ac:dyDescent="0.25">
      <c r="A90" s="225"/>
      <c r="B90" s="227" t="s">
        <v>138</v>
      </c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10"/>
      <c r="AZ90" s="8"/>
      <c r="BA90" s="8"/>
      <c r="BB90" s="9"/>
      <c r="BC90" s="34"/>
      <c r="BD90" s="32"/>
      <c r="BE90" s="32"/>
      <c r="BF90" s="33"/>
      <c r="BG90" s="34"/>
      <c r="BH90" s="32"/>
      <c r="BI90" s="32"/>
      <c r="BJ90" s="32"/>
      <c r="BK90" s="213"/>
      <c r="BL90" s="214"/>
      <c r="BM90" s="214"/>
      <c r="BN90" s="259"/>
      <c r="BO90" s="213">
        <f>(-BO79/BO66)*1000000</f>
        <v>382427.86586950871</v>
      </c>
      <c r="BP90" s="214">
        <f>(-BP79/BP66)*1000000</f>
        <v>417570.23164120252</v>
      </c>
      <c r="BQ90" s="214">
        <f>(-BQ79/BQ66)*1000000</f>
        <v>429936.62864385295</v>
      </c>
      <c r="BR90" s="214">
        <f>(-BR79/BR66)*1000000</f>
        <v>441698.50132236263</v>
      </c>
      <c r="BS90" s="213">
        <f>+(1512.4+37.2)/BS66*1000000</f>
        <v>734407.58293838869</v>
      </c>
      <c r="BT90" s="214">
        <f>+(1616.4+123.2)/BT66*1000000</f>
        <v>634890.51094890514</v>
      </c>
      <c r="BU90" s="214">
        <v>621723</v>
      </c>
      <c r="BV90" s="259">
        <v>583786</v>
      </c>
      <c r="BW90" s="214">
        <v>690575</v>
      </c>
      <c r="BX90" s="214">
        <v>786472</v>
      </c>
      <c r="BY90" s="214">
        <v>595446</v>
      </c>
      <c r="BZ90" s="214">
        <v>558980</v>
      </c>
      <c r="CA90" s="213">
        <v>742891</v>
      </c>
      <c r="CB90" s="214">
        <v>715336</v>
      </c>
      <c r="CC90" s="214">
        <v>701048</v>
      </c>
      <c r="CD90" s="259">
        <v>724002</v>
      </c>
      <c r="CE90" s="213">
        <v>1351055</v>
      </c>
      <c r="CF90" s="214">
        <v>34741935</v>
      </c>
      <c r="CG90" s="214">
        <v>1264056</v>
      </c>
      <c r="CH90" s="259">
        <v>898633</v>
      </c>
      <c r="CI90" s="213">
        <v>1091224</v>
      </c>
      <c r="CJ90" s="214">
        <v>1001947</v>
      </c>
      <c r="CK90" s="214">
        <v>1000000</v>
      </c>
      <c r="CL90" s="259">
        <v>1229915</v>
      </c>
      <c r="CM90" s="213">
        <v>1378855</v>
      </c>
      <c r="CN90" s="214">
        <v>1368908</v>
      </c>
      <c r="CO90" s="214">
        <v>1351805</v>
      </c>
      <c r="CP90" s="259">
        <v>1047238</v>
      </c>
      <c r="CQ90" s="213">
        <v>1782238</v>
      </c>
      <c r="CR90" s="214">
        <v>1646804</v>
      </c>
      <c r="CS90" s="214">
        <v>1668103</v>
      </c>
      <c r="CT90" s="259">
        <v>2001427</v>
      </c>
      <c r="CU90" s="213">
        <v>2196429</v>
      </c>
      <c r="CV90" s="214">
        <v>2415340</v>
      </c>
      <c r="CW90" s="214"/>
      <c r="CX90" s="259"/>
    </row>
    <row r="91" spans="1:119" x14ac:dyDescent="0.25">
      <c r="A91" s="225"/>
      <c r="B91" s="227" t="s">
        <v>139</v>
      </c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10"/>
      <c r="AZ91" s="8"/>
      <c r="BA91" s="8"/>
      <c r="BB91" s="9"/>
      <c r="BC91" s="34"/>
      <c r="BD91" s="32"/>
      <c r="BE91" s="32"/>
      <c r="BF91" s="33"/>
      <c r="BG91" s="34"/>
      <c r="BH91" s="32"/>
      <c r="BI91" s="32"/>
      <c r="BJ91" s="32"/>
      <c r="BK91" s="213"/>
      <c r="BL91" s="214"/>
      <c r="BM91" s="214"/>
      <c r="BN91" s="259"/>
      <c r="BO91" s="213">
        <f t="shared" ref="BO91:BV91" si="189">+BO90/(32.15074)/(BO100)</f>
        <v>994.55172942697163</v>
      </c>
      <c r="BP91" s="214">
        <f t="shared" si="189"/>
        <v>1026.7105664617802</v>
      </c>
      <c r="BQ91" s="214">
        <f t="shared" si="189"/>
        <v>951.78125883255166</v>
      </c>
      <c r="BR91" s="214">
        <f t="shared" si="189"/>
        <v>960.05324216077474</v>
      </c>
      <c r="BS91" s="213">
        <f t="shared" si="189"/>
        <v>1630.4520974005773</v>
      </c>
      <c r="BT91" s="214">
        <f t="shared" si="189"/>
        <v>1372.2936978704408</v>
      </c>
      <c r="BU91" s="214">
        <f t="shared" si="189"/>
        <v>1318.1834258600898</v>
      </c>
      <c r="BV91" s="259">
        <f t="shared" si="189"/>
        <v>1233.5447022370247</v>
      </c>
      <c r="BW91" s="214">
        <f t="shared" ref="BW91:BX91" si="190">+BW90/(32.15074)/(BW100)</f>
        <v>1396.5726839748036</v>
      </c>
      <c r="BX91" s="214">
        <f t="shared" si="190"/>
        <v>1362.7865517334455</v>
      </c>
      <c r="BY91" s="214">
        <f t="shared" ref="BY91:BZ91" si="191">+BY90/(32.15074)/(BY100)</f>
        <v>1095.2362288889647</v>
      </c>
      <c r="BZ91" s="214">
        <f t="shared" si="191"/>
        <v>1113.7876370143752</v>
      </c>
      <c r="CA91" s="213">
        <f t="shared" ref="CA91:CB91" si="192">+CA90/(32.15074)/(CA100)</f>
        <v>1544.5519855783361</v>
      </c>
      <c r="CB91" s="214">
        <f t="shared" si="192"/>
        <v>1574.6242905821036</v>
      </c>
      <c r="CC91" s="214">
        <f t="shared" ref="CC91:CF91" si="193">+CC90/(32.15074)/(CC100)</f>
        <v>1490.4329910192262</v>
      </c>
      <c r="CD91" s="259">
        <f t="shared" si="193"/>
        <v>1460.3750979859567</v>
      </c>
      <c r="CE91" s="213">
        <f t="shared" si="193"/>
        <v>2761.0063359740689</v>
      </c>
      <c r="CF91" s="214">
        <f t="shared" si="193"/>
        <v>69313.354075237396</v>
      </c>
      <c r="CG91" s="214">
        <f t="shared" ref="CG91:CJ91" si="194">+CG90/(32.15074)/(CG100)</f>
        <v>2305.9556892992764</v>
      </c>
      <c r="CH91" s="259">
        <f t="shared" si="194"/>
        <v>1587.2013843115092</v>
      </c>
      <c r="CI91" s="213">
        <f t="shared" si="194"/>
        <v>1911.0848706061754</v>
      </c>
      <c r="CJ91" s="214">
        <f t="shared" si="194"/>
        <v>1670.098694339051</v>
      </c>
      <c r="CK91" s="214">
        <f t="shared" ref="CK91:CP91" si="195">+CK90/(32.15074)/(CK100)</f>
        <v>1673.1298092880343</v>
      </c>
      <c r="CL91" s="259">
        <f t="shared" si="195"/>
        <v>2051.187157328111</v>
      </c>
      <c r="CM91" s="213">
        <f t="shared" si="195"/>
        <v>2273.976313108431</v>
      </c>
      <c r="CN91" s="214">
        <f t="shared" si="195"/>
        <v>2292.8275131009991</v>
      </c>
      <c r="CO91" s="214">
        <f t="shared" si="195"/>
        <v>2341.0826306175568</v>
      </c>
      <c r="CP91" s="259">
        <f t="shared" si="195"/>
        <v>1821.7421416065215</v>
      </c>
      <c r="CQ91" s="213">
        <f t="shared" ref="CQ91:CT91" si="196">+CQ90/(32.15074)/(CQ100)</f>
        <v>2999.66502221878</v>
      </c>
      <c r="CR91" s="214">
        <f t="shared" si="196"/>
        <v>2800.510687426693</v>
      </c>
      <c r="CS91" s="214">
        <f t="shared" si="196"/>
        <v>2941.2592721511005</v>
      </c>
      <c r="CT91" s="259">
        <f t="shared" si="196"/>
        <v>3638.3022197423043</v>
      </c>
      <c r="CU91" s="213">
        <f t="shared" ref="CU91:CX91" si="197">+CU90/(32.15074)/(CU100)</f>
        <v>4180.9420074612444</v>
      </c>
      <c r="CV91" s="214">
        <f t="shared" si="197"/>
        <v>4558.5853763827363</v>
      </c>
      <c r="CW91" s="214" t="e">
        <f t="shared" si="197"/>
        <v>#DIV/0!</v>
      </c>
      <c r="CX91" s="259" t="e">
        <f t="shared" si="197"/>
        <v>#DIV/0!</v>
      </c>
    </row>
    <row r="92" spans="1:119" ht="15" hidden="1" customHeight="1" x14ac:dyDescent="0.25">
      <c r="A92" s="225"/>
      <c r="B92" s="227" t="s">
        <v>74</v>
      </c>
      <c r="C92" s="32">
        <v>61500</v>
      </c>
      <c r="D92" s="32">
        <v>59128</v>
      </c>
      <c r="E92" s="32">
        <v>59689</v>
      </c>
      <c r="F92" s="32">
        <v>61411</v>
      </c>
      <c r="G92" s="32">
        <v>60315</v>
      </c>
      <c r="H92" s="32">
        <v>70516</v>
      </c>
      <c r="I92" s="32">
        <v>76614</v>
      </c>
      <c r="J92" s="32">
        <v>75849</v>
      </c>
      <c r="K92" s="32">
        <v>75920</v>
      </c>
      <c r="L92" s="32">
        <v>74191</v>
      </c>
      <c r="M92" s="32">
        <v>73484</v>
      </c>
      <c r="N92" s="32">
        <v>71628</v>
      </c>
      <c r="O92" s="32">
        <v>73915</v>
      </c>
      <c r="P92" s="32">
        <v>85445</v>
      </c>
      <c r="Q92" s="32">
        <v>88295</v>
      </c>
      <c r="R92" s="32">
        <v>79369</v>
      </c>
      <c r="S92" s="32">
        <v>92236</v>
      </c>
      <c r="T92" s="32">
        <v>87752</v>
      </c>
      <c r="U92" s="32">
        <v>78077</v>
      </c>
      <c r="V92" s="32">
        <v>84021</v>
      </c>
      <c r="W92" s="32">
        <v>90180</v>
      </c>
      <c r="X92" s="32">
        <v>87019</v>
      </c>
      <c r="Y92" s="32">
        <v>86269</v>
      </c>
      <c r="Z92" s="32">
        <v>91029</v>
      </c>
      <c r="AA92" s="8">
        <v>112514</v>
      </c>
      <c r="AB92" s="8">
        <v>119240</v>
      </c>
      <c r="AC92" s="8">
        <v>153747</v>
      </c>
      <c r="AD92" s="8">
        <v>156689</v>
      </c>
      <c r="AE92" s="8">
        <v>133796</v>
      </c>
      <c r="AF92" s="8">
        <v>145284</v>
      </c>
      <c r="AG92" s="8">
        <v>162818</v>
      </c>
      <c r="AH92" s="8">
        <v>169306</v>
      </c>
      <c r="AI92" s="8">
        <v>237978</v>
      </c>
      <c r="AJ92" s="8">
        <v>196201</v>
      </c>
      <c r="AK92" s="8">
        <v>219277</v>
      </c>
      <c r="AL92" s="8">
        <v>214257</v>
      </c>
      <c r="AM92" s="8">
        <v>208624</v>
      </c>
      <c r="AN92" s="8">
        <v>215148</v>
      </c>
      <c r="AO92" s="8">
        <v>220392</v>
      </c>
      <c r="AP92" s="8">
        <v>221645</v>
      </c>
      <c r="AQ92" s="8">
        <v>258172</v>
      </c>
      <c r="AR92" s="8">
        <v>230275</v>
      </c>
      <c r="AS92" s="8">
        <v>245564</v>
      </c>
      <c r="AT92" s="8">
        <v>318946</v>
      </c>
      <c r="AU92" s="8">
        <v>283964</v>
      </c>
      <c r="AV92" s="8">
        <v>244176</v>
      </c>
      <c r="AW92" s="8">
        <v>268027</v>
      </c>
      <c r="AX92" s="8">
        <v>254265</v>
      </c>
      <c r="AY92" s="10">
        <v>270706</v>
      </c>
      <c r="AZ92" s="8">
        <v>265074</v>
      </c>
      <c r="BA92" s="8">
        <v>296860</v>
      </c>
      <c r="BB92" s="9">
        <v>255177</v>
      </c>
      <c r="BC92" s="34">
        <v>398264</v>
      </c>
      <c r="BD92" s="32">
        <v>313860</v>
      </c>
      <c r="BE92" s="32">
        <v>363650</v>
      </c>
      <c r="BF92" s="33">
        <v>315236</v>
      </c>
      <c r="BG92" s="34">
        <v>360866</v>
      </c>
      <c r="BH92" s="32">
        <v>340277</v>
      </c>
      <c r="BI92" s="32">
        <v>352086</v>
      </c>
      <c r="BJ92" s="32">
        <v>310630</v>
      </c>
      <c r="BK92" s="213">
        <v>376814</v>
      </c>
      <c r="BL92" s="214">
        <v>365580</v>
      </c>
      <c r="BM92" s="214">
        <v>332892</v>
      </c>
      <c r="BN92" s="215" t="s">
        <v>77</v>
      </c>
      <c r="BO92" s="216" t="s">
        <v>77</v>
      </c>
      <c r="BP92" s="217" t="s">
        <v>77</v>
      </c>
      <c r="BQ92" s="217" t="s">
        <v>77</v>
      </c>
      <c r="BR92" s="217" t="s">
        <v>77</v>
      </c>
      <c r="BS92" s="216" t="s">
        <v>77</v>
      </c>
      <c r="BT92" s="217" t="s">
        <v>77</v>
      </c>
      <c r="BU92" s="217" t="s">
        <v>77</v>
      </c>
      <c r="BV92" s="215" t="s">
        <v>77</v>
      </c>
      <c r="BW92" s="217" t="s">
        <v>77</v>
      </c>
      <c r="BX92" s="217" t="s">
        <v>77</v>
      </c>
      <c r="BY92" s="217" t="s">
        <v>77</v>
      </c>
      <c r="BZ92" s="217" t="s">
        <v>77</v>
      </c>
      <c r="CA92" s="216" t="s">
        <v>77</v>
      </c>
      <c r="CB92" s="217" t="s">
        <v>77</v>
      </c>
      <c r="CC92" s="217" t="s">
        <v>77</v>
      </c>
      <c r="CD92" s="215" t="s">
        <v>77</v>
      </c>
      <c r="CE92" s="216" t="s">
        <v>77</v>
      </c>
      <c r="CF92" s="217" t="s">
        <v>77</v>
      </c>
      <c r="CG92" s="217" t="s">
        <v>77</v>
      </c>
      <c r="CH92" s="215" t="s">
        <v>77</v>
      </c>
      <c r="CI92" s="216" t="s">
        <v>77</v>
      </c>
      <c r="CJ92" s="217" t="s">
        <v>77</v>
      </c>
      <c r="CK92" s="217" t="s">
        <v>77</v>
      </c>
      <c r="CL92" s="215" t="s">
        <v>77</v>
      </c>
      <c r="CM92" s="216"/>
      <c r="CN92" s="217"/>
      <c r="CO92" s="217"/>
      <c r="CP92" s="215"/>
      <c r="CQ92" s="216"/>
      <c r="CR92" s="217"/>
      <c r="CS92" s="217"/>
      <c r="CT92" s="215"/>
      <c r="CU92" s="216"/>
      <c r="CV92" s="217"/>
      <c r="CW92" s="217"/>
      <c r="CX92" s="215"/>
    </row>
    <row r="93" spans="1:119" ht="15" hidden="1" customHeight="1" x14ac:dyDescent="0.25">
      <c r="A93" s="225"/>
      <c r="B93" s="227" t="s">
        <v>75</v>
      </c>
      <c r="C93" s="32">
        <f>+C92/(32.15074)/(C100)</f>
        <v>165.90322758125504</v>
      </c>
      <c r="D93" s="32">
        <f t="shared" ref="D93:BD93" si="198">+D92/(32.15074)/(D100)</f>
        <v>174.98446736146587</v>
      </c>
      <c r="E93" s="32">
        <f t="shared" si="198"/>
        <v>178.85701406731914</v>
      </c>
      <c r="F93" s="32">
        <f t="shared" si="198"/>
        <v>195.50624401341918</v>
      </c>
      <c r="G93" s="32">
        <f t="shared" si="198"/>
        <v>223.86713442405642</v>
      </c>
      <c r="H93" s="32">
        <f t="shared" si="198"/>
        <v>283.37121681322043</v>
      </c>
      <c r="I93" s="32">
        <f t="shared" si="198"/>
        <v>320.29062613057397</v>
      </c>
      <c r="J93" s="32">
        <f t="shared" si="198"/>
        <v>348.98936298789238</v>
      </c>
      <c r="K93" s="32">
        <f t="shared" si="198"/>
        <v>347.77267173816398</v>
      </c>
      <c r="L93" s="32">
        <f t="shared" si="198"/>
        <v>349.63613920116944</v>
      </c>
      <c r="M93" s="32">
        <f t="shared" si="198"/>
        <v>359.37238304046701</v>
      </c>
      <c r="N93" s="32">
        <f t="shared" si="198"/>
        <v>364.0327273533191</v>
      </c>
      <c r="O93" s="32">
        <f t="shared" si="198"/>
        <v>386.38890039950093</v>
      </c>
      <c r="P93" s="32">
        <f t="shared" si="198"/>
        <v>415.90565229269379</v>
      </c>
      <c r="Q93" s="32">
        <f t="shared" si="198"/>
        <v>421.20890262900417</v>
      </c>
      <c r="R93" s="32">
        <f t="shared" si="198"/>
        <v>378.04783376762197</v>
      </c>
      <c r="S93" s="32">
        <f t="shared" si="198"/>
        <v>467.24118440613034</v>
      </c>
      <c r="T93" s="32">
        <f t="shared" si="198"/>
        <v>427.13503189172525</v>
      </c>
      <c r="U93" s="32">
        <f t="shared" si="198"/>
        <v>342.03755693897813</v>
      </c>
      <c r="V93" s="32">
        <f t="shared" si="198"/>
        <v>354.11189134662209</v>
      </c>
      <c r="W93" s="32">
        <f t="shared" si="198"/>
        <v>389.03080594835643</v>
      </c>
      <c r="X93" s="32">
        <f t="shared" si="198"/>
        <v>381.74809599940136</v>
      </c>
      <c r="Y93" s="32">
        <f t="shared" si="198"/>
        <v>377.92484341827566</v>
      </c>
      <c r="Z93" s="32">
        <f t="shared" si="198"/>
        <v>418.83416687662134</v>
      </c>
      <c r="AA93" s="8">
        <f t="shared" si="198"/>
        <v>469.74191995488974</v>
      </c>
      <c r="AB93" s="8">
        <f t="shared" si="198"/>
        <v>477.32037726669267</v>
      </c>
      <c r="AC93" s="8">
        <f t="shared" si="198"/>
        <v>617.83814271062158</v>
      </c>
      <c r="AD93" s="8">
        <f t="shared" si="198"/>
        <v>496.29059796550257</v>
      </c>
      <c r="AE93" s="8">
        <f t="shared" si="198"/>
        <v>419.08576356107744</v>
      </c>
      <c r="AF93" s="8">
        <f t="shared" si="198"/>
        <v>527.90168769185584</v>
      </c>
      <c r="AG93" s="8">
        <f t="shared" si="198"/>
        <v>647.59679287419101</v>
      </c>
      <c r="AH93" s="8">
        <f t="shared" si="198"/>
        <v>703.07160467071265</v>
      </c>
      <c r="AI93" s="8">
        <f t="shared" si="198"/>
        <v>986.92596189076835</v>
      </c>
      <c r="AJ93" s="8">
        <f t="shared" si="198"/>
        <v>812.58781603573118</v>
      </c>
      <c r="AK93" s="8">
        <f t="shared" si="198"/>
        <v>926.66827115562228</v>
      </c>
      <c r="AL93" s="8">
        <f t="shared" si="198"/>
        <v>963.02586564580406</v>
      </c>
      <c r="AM93" s="8">
        <f t="shared" si="198"/>
        <v>929.64657158434659</v>
      </c>
      <c r="AN93" s="8">
        <f t="shared" si="198"/>
        <v>986.9988486371343</v>
      </c>
      <c r="AO93" s="8">
        <f t="shared" si="198"/>
        <v>972.33458998905417</v>
      </c>
      <c r="AP93" s="8">
        <f t="shared" si="198"/>
        <v>853.2093470068844</v>
      </c>
      <c r="AQ93" s="8">
        <f t="shared" si="198"/>
        <v>1033.4682693701491</v>
      </c>
      <c r="AR93" s="8">
        <f t="shared" si="198"/>
        <v>888.62960092312414</v>
      </c>
      <c r="AS93" s="8">
        <f t="shared" si="198"/>
        <v>924.68471396998154</v>
      </c>
      <c r="AT93" s="8">
        <f t="shared" si="198"/>
        <v>1144.2135568913084</v>
      </c>
      <c r="AU93" s="8">
        <f t="shared" si="198"/>
        <v>993.50612941857889</v>
      </c>
      <c r="AV93" s="8">
        <f t="shared" si="198"/>
        <v>807.0907654381906</v>
      </c>
      <c r="AW93" s="8">
        <f t="shared" si="198"/>
        <v>835.32798391736253</v>
      </c>
      <c r="AX93" s="8">
        <f t="shared" si="198"/>
        <v>782.24798657970177</v>
      </c>
      <c r="AY93" s="10">
        <f t="shared" si="198"/>
        <v>778.17925239063072</v>
      </c>
      <c r="AZ93" s="8">
        <f t="shared" si="198"/>
        <v>782.97480472360439</v>
      </c>
      <c r="BA93" s="8">
        <f t="shared" si="198"/>
        <v>861.3227620609814</v>
      </c>
      <c r="BB93" s="9">
        <f t="shared" si="198"/>
        <v>708.65120722837844</v>
      </c>
      <c r="BC93" s="34">
        <f t="shared" si="198"/>
        <v>1058.7519329153272</v>
      </c>
      <c r="BD93" s="32">
        <f t="shared" si="198"/>
        <v>808.79363901599163</v>
      </c>
      <c r="BE93" s="32">
        <f>+BE92/(32.15074)/(BE100)-1</f>
        <v>869.06012686105896</v>
      </c>
      <c r="BF93" s="33">
        <f t="shared" ref="BF93:BM93" si="199">+BF92/(32.15074)/(BF100)</f>
        <v>690.00264713186743</v>
      </c>
      <c r="BG93" s="34">
        <f t="shared" si="199"/>
        <v>710.84164357765553</v>
      </c>
      <c r="BH93" s="32">
        <f t="shared" si="199"/>
        <v>707.00066382229738</v>
      </c>
      <c r="BI93" s="32">
        <f t="shared" si="199"/>
        <v>778.88342603081264</v>
      </c>
      <c r="BJ93" s="32">
        <f t="shared" si="199"/>
        <v>696.08609310759743</v>
      </c>
      <c r="BK93" s="213">
        <f t="shared" si="199"/>
        <v>887.22391381088346</v>
      </c>
      <c r="BL93" s="214">
        <f t="shared" si="199"/>
        <v>861.42510391532358</v>
      </c>
      <c r="BM93" s="214">
        <f t="shared" si="199"/>
        <v>785.59185996377801</v>
      </c>
      <c r="BN93" s="215" t="s">
        <v>77</v>
      </c>
      <c r="BO93" s="216" t="s">
        <v>77</v>
      </c>
      <c r="BP93" s="217" t="s">
        <v>77</v>
      </c>
      <c r="BQ93" s="217" t="s">
        <v>77</v>
      </c>
      <c r="BR93" s="217" t="s">
        <v>77</v>
      </c>
      <c r="BS93" s="216" t="s">
        <v>77</v>
      </c>
      <c r="BT93" s="217" t="s">
        <v>77</v>
      </c>
      <c r="BU93" s="217" t="s">
        <v>77</v>
      </c>
      <c r="BV93" s="215" t="s">
        <v>77</v>
      </c>
      <c r="BW93" s="217" t="s">
        <v>77</v>
      </c>
      <c r="BX93" s="217" t="s">
        <v>77</v>
      </c>
      <c r="BY93" s="217" t="s">
        <v>77</v>
      </c>
      <c r="BZ93" s="217" t="s">
        <v>77</v>
      </c>
      <c r="CA93" s="216" t="s">
        <v>77</v>
      </c>
      <c r="CB93" s="217" t="s">
        <v>77</v>
      </c>
      <c r="CC93" s="217" t="s">
        <v>77</v>
      </c>
      <c r="CD93" s="215" t="s">
        <v>77</v>
      </c>
      <c r="CE93" s="216" t="s">
        <v>77</v>
      </c>
      <c r="CF93" s="217" t="s">
        <v>77</v>
      </c>
      <c r="CG93" s="217" t="s">
        <v>77</v>
      </c>
      <c r="CH93" s="215" t="s">
        <v>77</v>
      </c>
      <c r="CI93" s="216" t="s">
        <v>77</v>
      </c>
      <c r="CJ93" s="217" t="s">
        <v>77</v>
      </c>
      <c r="CK93" s="217" t="s">
        <v>77</v>
      </c>
      <c r="CL93" s="215" t="s">
        <v>77</v>
      </c>
      <c r="CM93" s="216"/>
      <c r="CN93" s="217"/>
      <c r="CO93" s="217"/>
      <c r="CP93" s="215"/>
      <c r="CQ93" s="216"/>
      <c r="CR93" s="217"/>
      <c r="CS93" s="217"/>
      <c r="CT93" s="215"/>
      <c r="CU93" s="216"/>
      <c r="CV93" s="217"/>
      <c r="CW93" s="217"/>
      <c r="CX93" s="215"/>
    </row>
    <row r="94" spans="1:119" ht="15" hidden="1" customHeight="1" x14ac:dyDescent="0.25">
      <c r="A94" s="225"/>
      <c r="B94" s="227" t="s">
        <v>76</v>
      </c>
      <c r="C94" s="32">
        <f t="shared" ref="C94:AU94" si="200">+((-C79+C75)*1000000)/(C66)</f>
        <v>68733.657078819568</v>
      </c>
      <c r="D94" s="32">
        <f t="shared" si="200"/>
        <v>67470.304598377028</v>
      </c>
      <c r="E94" s="32">
        <f t="shared" si="200"/>
        <v>74086.415639231374</v>
      </c>
      <c r="F94" s="32">
        <f t="shared" si="200"/>
        <v>76333.113890717577</v>
      </c>
      <c r="G94" s="32">
        <f t="shared" si="200"/>
        <v>73780.750971083296</v>
      </c>
      <c r="H94" s="32">
        <f t="shared" si="200"/>
        <v>87609.85270454266</v>
      </c>
      <c r="I94" s="32">
        <f t="shared" si="200"/>
        <v>94683.327208134273</v>
      </c>
      <c r="J94" s="32">
        <f t="shared" si="200"/>
        <v>89640.95099466278</v>
      </c>
      <c r="K94" s="32">
        <f t="shared" si="200"/>
        <v>86300.14097142125</v>
      </c>
      <c r="L94" s="32">
        <f t="shared" si="200"/>
        <v>86456.653850923976</v>
      </c>
      <c r="M94" s="32">
        <f t="shared" si="200"/>
        <v>83745.327384541175</v>
      </c>
      <c r="N94" s="32">
        <f t="shared" si="200"/>
        <v>81654.63504067836</v>
      </c>
      <c r="O94" s="32">
        <f t="shared" si="200"/>
        <v>84421.743889091566</v>
      </c>
      <c r="P94" s="32">
        <f t="shared" si="200"/>
        <v>95808.98075552388</v>
      </c>
      <c r="Q94" s="32">
        <f t="shared" si="200"/>
        <v>98262.661955241478</v>
      </c>
      <c r="R94" s="32">
        <f t="shared" si="200"/>
        <v>89308.896525391348</v>
      </c>
      <c r="S94" s="32">
        <f t="shared" si="200"/>
        <v>102701.86335403727</v>
      </c>
      <c r="T94" s="32">
        <f t="shared" si="200"/>
        <v>99836.512261580399</v>
      </c>
      <c r="U94" s="32">
        <f t="shared" si="200"/>
        <v>105868.3269307193</v>
      </c>
      <c r="V94" s="32">
        <f t="shared" si="200"/>
        <v>114305.63301728945</v>
      </c>
      <c r="W94" s="32">
        <f t="shared" si="200"/>
        <v>122168.63948560573</v>
      </c>
      <c r="X94" s="32">
        <f t="shared" si="200"/>
        <v>119997.19927181068</v>
      </c>
      <c r="Y94" s="32">
        <f t="shared" si="200"/>
        <v>119975.40647629458</v>
      </c>
      <c r="Z94" s="32">
        <f t="shared" si="200"/>
        <v>127385.42972558852</v>
      </c>
      <c r="AA94" s="8">
        <f t="shared" si="200"/>
        <v>157292.04836936606</v>
      </c>
      <c r="AB94" s="8">
        <f t="shared" si="200"/>
        <v>167939.75255513718</v>
      </c>
      <c r="AC94" s="8">
        <f t="shared" si="200"/>
        <v>210141.65469102853</v>
      </c>
      <c r="AD94" s="8">
        <f t="shared" si="200"/>
        <v>216981.13207547169</v>
      </c>
      <c r="AE94" s="8">
        <f t="shared" si="200"/>
        <v>182611.91268960416</v>
      </c>
      <c r="AF94" s="8">
        <f t="shared" si="200"/>
        <v>201458.83293365309</v>
      </c>
      <c r="AG94" s="8">
        <f t="shared" si="200"/>
        <v>217456.21019108279</v>
      </c>
      <c r="AH94" s="8">
        <f t="shared" si="200"/>
        <v>233803.96971557193</v>
      </c>
      <c r="AI94" s="8">
        <f t="shared" si="200"/>
        <v>327482.05741626793</v>
      </c>
      <c r="AJ94" s="8">
        <f t="shared" si="200"/>
        <v>274319.06614785991</v>
      </c>
      <c r="AK94" s="8">
        <f t="shared" si="200"/>
        <v>308487.99802029203</v>
      </c>
      <c r="AL94" s="8">
        <f t="shared" si="200"/>
        <v>298138.23004335631</v>
      </c>
      <c r="AM94" s="8">
        <f t="shared" si="200"/>
        <v>269721.54636388214</v>
      </c>
      <c r="AN94" s="8">
        <f t="shared" si="200"/>
        <v>277336.77782996715</v>
      </c>
      <c r="AO94" s="8">
        <f t="shared" si="200"/>
        <v>274723.50230414746</v>
      </c>
      <c r="AP94" s="8">
        <f t="shared" si="200"/>
        <v>290259.74025974027</v>
      </c>
      <c r="AQ94" s="8">
        <f t="shared" si="200"/>
        <v>326062.94864715624</v>
      </c>
      <c r="AR94" s="8">
        <f t="shared" si="200"/>
        <v>306750.57208237989</v>
      </c>
      <c r="AS94" s="8">
        <f t="shared" si="200"/>
        <v>318085.10638297873</v>
      </c>
      <c r="AT94" s="8">
        <f t="shared" si="200"/>
        <v>452823.12925170065</v>
      </c>
      <c r="AU94" s="8">
        <f t="shared" si="200"/>
        <v>367927.21069092979</v>
      </c>
      <c r="AV94" s="8">
        <f>+((-AV79+AV75)*1000000)/(AV66)</f>
        <v>319739.59544292022</v>
      </c>
      <c r="AW94" s="8">
        <f>+((-AW79+AW75)*1000000)/(AW66)</f>
        <v>348392.68051434221</v>
      </c>
      <c r="AX94" s="8">
        <f>+((-AX79+AX75)*1000000)/(AX66)</f>
        <v>325613.60874848114</v>
      </c>
      <c r="AY94" s="19" t="s">
        <v>77</v>
      </c>
      <c r="AZ94" s="20" t="s">
        <v>77</v>
      </c>
      <c r="BA94" s="20" t="s">
        <v>77</v>
      </c>
      <c r="BB94" s="21" t="s">
        <v>77</v>
      </c>
      <c r="BC94" s="40" t="s">
        <v>77</v>
      </c>
      <c r="BD94" s="41" t="s">
        <v>77</v>
      </c>
      <c r="BE94" s="41" t="s">
        <v>77</v>
      </c>
      <c r="BF94" s="42" t="s">
        <v>77</v>
      </c>
      <c r="BG94" s="40" t="s">
        <v>77</v>
      </c>
      <c r="BH94" s="41" t="s">
        <v>77</v>
      </c>
      <c r="BI94" s="41" t="s">
        <v>77</v>
      </c>
      <c r="BJ94" s="41" t="s">
        <v>77</v>
      </c>
      <c r="BK94" s="216" t="s">
        <v>77</v>
      </c>
      <c r="BL94" s="217" t="s">
        <v>77</v>
      </c>
      <c r="BM94" s="217" t="s">
        <v>77</v>
      </c>
      <c r="BN94" s="217" t="s">
        <v>77</v>
      </c>
      <c r="BO94" s="216" t="s">
        <v>77</v>
      </c>
      <c r="BP94" s="217" t="s">
        <v>77</v>
      </c>
      <c r="BQ94" s="217" t="s">
        <v>77</v>
      </c>
      <c r="BR94" s="217" t="s">
        <v>77</v>
      </c>
      <c r="BS94" s="216" t="s">
        <v>77</v>
      </c>
      <c r="BT94" s="217" t="s">
        <v>77</v>
      </c>
      <c r="BU94" s="217" t="s">
        <v>77</v>
      </c>
      <c r="BV94" s="215" t="s">
        <v>77</v>
      </c>
      <c r="BW94" s="217" t="s">
        <v>77</v>
      </c>
      <c r="BX94" s="217" t="s">
        <v>77</v>
      </c>
      <c r="BY94" s="217" t="s">
        <v>77</v>
      </c>
      <c r="BZ94" s="217" t="s">
        <v>77</v>
      </c>
      <c r="CA94" s="216" t="s">
        <v>77</v>
      </c>
      <c r="CB94" s="217" t="s">
        <v>77</v>
      </c>
      <c r="CC94" s="217" t="s">
        <v>77</v>
      </c>
      <c r="CD94" s="215" t="s">
        <v>77</v>
      </c>
      <c r="CE94" s="216" t="s">
        <v>77</v>
      </c>
      <c r="CF94" s="217" t="s">
        <v>77</v>
      </c>
      <c r="CG94" s="217" t="s">
        <v>77</v>
      </c>
      <c r="CH94" s="215" t="s">
        <v>77</v>
      </c>
      <c r="CI94" s="216" t="s">
        <v>77</v>
      </c>
      <c r="CJ94" s="217" t="s">
        <v>77</v>
      </c>
      <c r="CK94" s="217" t="s">
        <v>77</v>
      </c>
      <c r="CL94" s="215" t="s">
        <v>77</v>
      </c>
      <c r="CM94" s="216"/>
      <c r="CN94" s="217"/>
      <c r="CO94" s="217"/>
      <c r="CP94" s="215"/>
      <c r="CQ94" s="216"/>
      <c r="CR94" s="217"/>
      <c r="CS94" s="217"/>
      <c r="CT94" s="215"/>
      <c r="CU94" s="216"/>
      <c r="CV94" s="217"/>
      <c r="CW94" s="217"/>
      <c r="CX94" s="215"/>
    </row>
    <row r="95" spans="1:119" ht="15" hidden="1" customHeight="1" x14ac:dyDescent="0.25">
      <c r="A95" s="225"/>
      <c r="B95" s="227" t="s">
        <v>78</v>
      </c>
      <c r="C95" s="32">
        <f>+C94/(32.15074)/(C100)</f>
        <v>185.4168382575503</v>
      </c>
      <c r="D95" s="32">
        <f t="shared" ref="D95:AX95" si="201">+D94/(32.15074)/(D100)</f>
        <v>199.67283373127563</v>
      </c>
      <c r="E95" s="32">
        <f t="shared" si="201"/>
        <v>221.99861086939404</v>
      </c>
      <c r="F95" s="32">
        <f t="shared" si="201"/>
        <v>243.01184463081123</v>
      </c>
      <c r="G95" s="32">
        <f t="shared" si="201"/>
        <v>273.84705787202745</v>
      </c>
      <c r="H95" s="32">
        <f t="shared" si="201"/>
        <v>352.06351134087669</v>
      </c>
      <c r="I95" s="32">
        <f t="shared" si="201"/>
        <v>395.8308162427146</v>
      </c>
      <c r="J95" s="32">
        <f t="shared" si="201"/>
        <v>412.44760491577</v>
      </c>
      <c r="K95" s="32">
        <f t="shared" si="201"/>
        <v>395.32179395431189</v>
      </c>
      <c r="L95" s="32">
        <f t="shared" si="201"/>
        <v>407.43986010013316</v>
      </c>
      <c r="M95" s="32">
        <f t="shared" si="201"/>
        <v>409.55524836272718</v>
      </c>
      <c r="N95" s="32">
        <f t="shared" si="201"/>
        <v>414.99077867451336</v>
      </c>
      <c r="O95" s="32">
        <f t="shared" si="201"/>
        <v>441.31265360365796</v>
      </c>
      <c r="P95" s="32">
        <f t="shared" si="201"/>
        <v>466.35258513224068</v>
      </c>
      <c r="Q95" s="32">
        <f t="shared" si="201"/>
        <v>468.75936362842816</v>
      </c>
      <c r="R95" s="32">
        <f t="shared" si="201"/>
        <v>425.39322490646089</v>
      </c>
      <c r="S95" s="32">
        <f t="shared" si="201"/>
        <v>520.25825354803908</v>
      </c>
      <c r="T95" s="32">
        <f t="shared" si="201"/>
        <v>485.95669442073984</v>
      </c>
      <c r="U95" s="32">
        <f t="shared" si="201"/>
        <v>463.78503145100677</v>
      </c>
      <c r="V95" s="32">
        <f t="shared" si="201"/>
        <v>481.74841883963848</v>
      </c>
      <c r="W95" s="32">
        <f t="shared" si="201"/>
        <v>527.02776980150145</v>
      </c>
      <c r="X95" s="32">
        <f t="shared" si="201"/>
        <v>526.42184289953309</v>
      </c>
      <c r="Y95" s="32">
        <f t="shared" si="201"/>
        <v>525.58493440978339</v>
      </c>
      <c r="Z95" s="32">
        <f t="shared" si="201"/>
        <v>586.11398929283257</v>
      </c>
      <c r="AA95" s="8">
        <f t="shared" si="201"/>
        <v>656.68866802943091</v>
      </c>
      <c r="AB95" s="8">
        <f t="shared" si="201"/>
        <v>672.26657202023739</v>
      </c>
      <c r="AC95" s="8">
        <f t="shared" si="201"/>
        <v>844.46219854983747</v>
      </c>
      <c r="AD95" s="8">
        <f t="shared" si="201"/>
        <v>687.25753425554785</v>
      </c>
      <c r="AE95" s="8">
        <f t="shared" si="201"/>
        <v>571.99058914221325</v>
      </c>
      <c r="AF95" s="8">
        <f t="shared" si="201"/>
        <v>732.01768884465662</v>
      </c>
      <c r="AG95" s="8">
        <f t="shared" si="201"/>
        <v>864.91631337027354</v>
      </c>
      <c r="AH95" s="8">
        <f t="shared" si="201"/>
        <v>970.91025814979901</v>
      </c>
      <c r="AI95" s="8">
        <f t="shared" si="201"/>
        <v>1358.1110208402376</v>
      </c>
      <c r="AJ95" s="8">
        <f t="shared" si="201"/>
        <v>1136.1222973279991</v>
      </c>
      <c r="AK95" s="8">
        <f t="shared" si="201"/>
        <v>1303.6754415543951</v>
      </c>
      <c r="AL95" s="8">
        <f t="shared" si="201"/>
        <v>1340.0487595252948</v>
      </c>
      <c r="AM95" s="8">
        <f t="shared" si="201"/>
        <v>1201.9025177333931</v>
      </c>
      <c r="AN95" s="8">
        <f t="shared" si="201"/>
        <v>1272.2920055167153</v>
      </c>
      <c r="AO95" s="8">
        <f t="shared" si="201"/>
        <v>1212.0365710790784</v>
      </c>
      <c r="AP95" s="8">
        <f t="shared" si="201"/>
        <v>1117.3377403027403</v>
      </c>
      <c r="AQ95" s="8">
        <f t="shared" si="201"/>
        <v>1305.2372497563811</v>
      </c>
      <c r="AR95" s="8">
        <f t="shared" si="201"/>
        <v>1183.7482942243198</v>
      </c>
      <c r="AS95" s="8">
        <f t="shared" si="201"/>
        <v>1197.7669186601288</v>
      </c>
      <c r="AT95" s="8">
        <f t="shared" si="201"/>
        <v>1624.4955677880928</v>
      </c>
      <c r="AU95" s="8">
        <f t="shared" si="201"/>
        <v>1287.2685939109169</v>
      </c>
      <c r="AV95" s="8">
        <f t="shared" si="201"/>
        <v>1056.856017081629</v>
      </c>
      <c r="AW95" s="8">
        <f t="shared" si="201"/>
        <v>1085.7941753092459</v>
      </c>
      <c r="AX95" s="8">
        <f t="shared" si="201"/>
        <v>1001.7524623776379</v>
      </c>
      <c r="AY95" s="19" t="s">
        <v>77</v>
      </c>
      <c r="AZ95" s="20" t="s">
        <v>77</v>
      </c>
      <c r="BA95" s="20" t="s">
        <v>77</v>
      </c>
      <c r="BB95" s="21" t="s">
        <v>77</v>
      </c>
      <c r="BC95" s="40" t="s">
        <v>77</v>
      </c>
      <c r="BD95" s="41" t="s">
        <v>77</v>
      </c>
      <c r="BE95" s="41" t="s">
        <v>77</v>
      </c>
      <c r="BF95" s="42" t="s">
        <v>77</v>
      </c>
      <c r="BG95" s="40" t="s">
        <v>77</v>
      </c>
      <c r="BH95" s="41" t="s">
        <v>77</v>
      </c>
      <c r="BI95" s="41" t="s">
        <v>77</v>
      </c>
      <c r="BJ95" s="41" t="s">
        <v>77</v>
      </c>
      <c r="BK95" s="216" t="s">
        <v>77</v>
      </c>
      <c r="BL95" s="217" t="s">
        <v>77</v>
      </c>
      <c r="BM95" s="217" t="s">
        <v>77</v>
      </c>
      <c r="BN95" s="217" t="s">
        <v>77</v>
      </c>
      <c r="BO95" s="216" t="s">
        <v>77</v>
      </c>
      <c r="BP95" s="217" t="s">
        <v>77</v>
      </c>
      <c r="BQ95" s="217" t="s">
        <v>77</v>
      </c>
      <c r="BR95" s="217" t="s">
        <v>77</v>
      </c>
      <c r="BS95" s="216" t="s">
        <v>77</v>
      </c>
      <c r="BT95" s="217" t="s">
        <v>77</v>
      </c>
      <c r="BU95" s="217" t="s">
        <v>77</v>
      </c>
      <c r="BV95" s="215" t="s">
        <v>77</v>
      </c>
      <c r="BW95" s="217" t="s">
        <v>77</v>
      </c>
      <c r="BX95" s="217" t="s">
        <v>77</v>
      </c>
      <c r="BY95" s="217" t="s">
        <v>77</v>
      </c>
      <c r="BZ95" s="217" t="s">
        <v>77</v>
      </c>
      <c r="CA95" s="216" t="s">
        <v>77</v>
      </c>
      <c r="CB95" s="217" t="s">
        <v>77</v>
      </c>
      <c r="CC95" s="217" t="s">
        <v>77</v>
      </c>
      <c r="CD95" s="215" t="s">
        <v>77</v>
      </c>
      <c r="CE95" s="216" t="s">
        <v>77</v>
      </c>
      <c r="CF95" s="217" t="s">
        <v>77</v>
      </c>
      <c r="CG95" s="217" t="s">
        <v>77</v>
      </c>
      <c r="CH95" s="215" t="s">
        <v>77</v>
      </c>
      <c r="CI95" s="216" t="s">
        <v>77</v>
      </c>
      <c r="CJ95" s="217" t="s">
        <v>77</v>
      </c>
      <c r="CK95" s="217" t="s">
        <v>77</v>
      </c>
      <c r="CL95" s="215" t="s">
        <v>77</v>
      </c>
      <c r="CM95" s="216"/>
      <c r="CN95" s="217"/>
      <c r="CO95" s="217"/>
      <c r="CP95" s="215"/>
      <c r="CQ95" s="216"/>
      <c r="CR95" s="217"/>
      <c r="CS95" s="217"/>
      <c r="CT95" s="215"/>
      <c r="CU95" s="216"/>
      <c r="CV95" s="217"/>
      <c r="CW95" s="217"/>
      <c r="CX95" s="215"/>
    </row>
    <row r="96" spans="1:119" x14ac:dyDescent="0.25">
      <c r="A96" s="225"/>
      <c r="B96" s="227" t="s">
        <v>79</v>
      </c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925">
        <v>289122</v>
      </c>
      <c r="AN96" s="925"/>
      <c r="AO96" s="925"/>
      <c r="AP96" s="925"/>
      <c r="AQ96" s="925">
        <v>329517</v>
      </c>
      <c r="AR96" s="925"/>
      <c r="AS96" s="925">
        <v>384588</v>
      </c>
      <c r="AT96" s="925"/>
      <c r="AU96" s="8">
        <v>383878</v>
      </c>
      <c r="AV96" s="8">
        <v>334457</v>
      </c>
      <c r="AW96" s="8">
        <v>362834</v>
      </c>
      <c r="AX96" s="8">
        <v>339757</v>
      </c>
      <c r="AY96" s="10">
        <v>347754</v>
      </c>
      <c r="AZ96" s="8">
        <v>342579</v>
      </c>
      <c r="BA96" s="8">
        <v>378311</v>
      </c>
      <c r="BB96" s="9">
        <v>343468</v>
      </c>
      <c r="BC96" s="34">
        <v>502068</v>
      </c>
      <c r="BD96" s="32">
        <v>391309</v>
      </c>
      <c r="BE96" s="32">
        <v>449297</v>
      </c>
      <c r="BF96" s="33">
        <v>388554</v>
      </c>
      <c r="BG96" s="34">
        <v>435001</v>
      </c>
      <c r="BH96" s="32">
        <v>421274</v>
      </c>
      <c r="BI96" s="32">
        <v>441956</v>
      </c>
      <c r="BJ96" s="32">
        <v>409843</v>
      </c>
      <c r="BK96" s="213">
        <v>450859</v>
      </c>
      <c r="BL96" s="214">
        <v>435309</v>
      </c>
      <c r="BM96" s="214">
        <v>419395</v>
      </c>
      <c r="BN96" s="259">
        <v>420776</v>
      </c>
      <c r="BO96" s="213">
        <v>447777</v>
      </c>
      <c r="BP96" s="214">
        <v>479966</v>
      </c>
      <c r="BQ96" s="214">
        <v>509303</v>
      </c>
      <c r="BR96" s="214">
        <v>526433</v>
      </c>
      <c r="BS96" s="213">
        <v>761877</v>
      </c>
      <c r="BT96" s="214">
        <v>702392</v>
      </c>
      <c r="BU96" s="214">
        <v>726096</v>
      </c>
      <c r="BV96" s="259">
        <v>710950</v>
      </c>
      <c r="BW96" s="214">
        <v>812516</v>
      </c>
      <c r="BX96" s="214">
        <v>837363</v>
      </c>
      <c r="BY96" s="214">
        <v>718630</v>
      </c>
      <c r="BZ96" s="214">
        <v>727425</v>
      </c>
      <c r="CA96" s="213">
        <v>844744</v>
      </c>
      <c r="CB96" s="214">
        <v>835250</v>
      </c>
      <c r="CC96" s="214">
        <v>848444</v>
      </c>
      <c r="CD96" s="259">
        <v>908207</v>
      </c>
      <c r="CE96" s="213">
        <v>1462030</v>
      </c>
      <c r="CF96" s="214">
        <v>76266667</v>
      </c>
      <c r="CG96" s="214">
        <v>1527554</v>
      </c>
      <c r="CH96" s="259">
        <v>1130530</v>
      </c>
      <c r="CI96" s="213">
        <v>1213050</v>
      </c>
      <c r="CJ96" s="214">
        <v>1190289</v>
      </c>
      <c r="CK96" s="214">
        <v>1193820</v>
      </c>
      <c r="CL96" s="259">
        <v>1423179</v>
      </c>
      <c r="CM96" s="213">
        <v>1580279</v>
      </c>
      <c r="CN96" s="214">
        <v>1636872</v>
      </c>
      <c r="CO96" s="214">
        <v>1614094</v>
      </c>
      <c r="CP96" s="259">
        <v>1330639</v>
      </c>
      <c r="CQ96" s="213">
        <v>2012712</v>
      </c>
      <c r="CR96" s="214">
        <v>1959064</v>
      </c>
      <c r="CS96" s="214">
        <v>2119628</v>
      </c>
      <c r="CT96" s="259">
        <v>2496979</v>
      </c>
      <c r="CU96" s="213">
        <v>2206037</v>
      </c>
      <c r="CV96" s="214">
        <v>2349741</v>
      </c>
      <c r="CW96" s="214"/>
      <c r="CX96" s="259"/>
    </row>
    <row r="97" spans="1:119" x14ac:dyDescent="0.25">
      <c r="A97" s="225"/>
      <c r="B97" s="227" t="s">
        <v>80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925">
        <v>1246</v>
      </c>
      <c r="AN97" s="925"/>
      <c r="AO97" s="925"/>
      <c r="AP97" s="925"/>
      <c r="AQ97" s="925">
        <v>1294</v>
      </c>
      <c r="AR97" s="925"/>
      <c r="AS97" s="925">
        <v>1412</v>
      </c>
      <c r="AT97" s="925"/>
      <c r="AU97" s="8">
        <f t="shared" ref="AU97:BH97" si="202">+AU96/(32.15074)/(AU100)</f>
        <v>1343.075692513647</v>
      </c>
      <c r="AV97" s="8">
        <f t="shared" si="202"/>
        <v>1105.5024086567103</v>
      </c>
      <c r="AW97" s="8">
        <f t="shared" si="202"/>
        <v>1130.8017241422406</v>
      </c>
      <c r="AX97" s="8">
        <f t="shared" si="202"/>
        <v>1045.2647009079492</v>
      </c>
      <c r="AY97" s="10">
        <f t="shared" si="202"/>
        <v>999.66364888791293</v>
      </c>
      <c r="AZ97" s="8">
        <f t="shared" si="202"/>
        <v>1011.9088466896325</v>
      </c>
      <c r="BA97" s="8">
        <f t="shared" si="202"/>
        <v>1097.6483037056253</v>
      </c>
      <c r="BB97" s="9">
        <f t="shared" si="202"/>
        <v>953.84385287199348</v>
      </c>
      <c r="BC97" s="34">
        <f t="shared" si="202"/>
        <v>1334.7062889312929</v>
      </c>
      <c r="BD97" s="32">
        <f t="shared" si="202"/>
        <v>1008.373893104278</v>
      </c>
      <c r="BE97" s="32">
        <f t="shared" si="202"/>
        <v>1074.9770516108708</v>
      </c>
      <c r="BF97" s="33">
        <f t="shared" si="202"/>
        <v>850.48436267962927</v>
      </c>
      <c r="BG97" s="34">
        <f t="shared" si="202"/>
        <v>856.8743683193311</v>
      </c>
      <c r="BH97" s="32">
        <f t="shared" si="202"/>
        <v>875.28983049419878</v>
      </c>
      <c r="BI97" s="32">
        <f>+BI96/(32.15074)/(BI100)</f>
        <v>977.69352781670909</v>
      </c>
      <c r="BJ97" s="32">
        <f>+BJ96/(32.15074)/(BJ100)</f>
        <v>918.41101199979721</v>
      </c>
      <c r="BK97" s="213">
        <f>+BK96/(32.15074)/(BK100)</f>
        <v>1061.5658827879565</v>
      </c>
      <c r="BL97" s="214">
        <f t="shared" ref="BL97:BR97" si="203">+BL96/(32.15074)/(BL100)</f>
        <v>1025.7292536798391</v>
      </c>
      <c r="BM97" s="214">
        <f t="shared" si="203"/>
        <v>989.73029724207447</v>
      </c>
      <c r="BN97" s="259">
        <f t="shared" si="203"/>
        <v>960.20537255224747</v>
      </c>
      <c r="BO97" s="213">
        <f t="shared" si="203"/>
        <v>1164.5003659319591</v>
      </c>
      <c r="BP97" s="214">
        <f t="shared" si="203"/>
        <v>1180.1276202222712</v>
      </c>
      <c r="BQ97" s="214">
        <f t="shared" si="203"/>
        <v>1127.4802335316815</v>
      </c>
      <c r="BR97" s="214">
        <f t="shared" si="203"/>
        <v>1144.2278090537754</v>
      </c>
      <c r="BS97" s="213">
        <f t="shared" ref="BS97:BX97" si="204">+BS96/(32.15074)/(BS100)</f>
        <v>1691.4367191596268</v>
      </c>
      <c r="BT97" s="214">
        <f t="shared" si="204"/>
        <v>1518.1958123676961</v>
      </c>
      <c r="BU97" s="214">
        <f t="shared" si="204"/>
        <v>1539.4761216543502</v>
      </c>
      <c r="BV97" s="259">
        <f t="shared" si="204"/>
        <v>1502.2432981527695</v>
      </c>
      <c r="BW97" s="214">
        <f t="shared" si="204"/>
        <v>1643.1780051297419</v>
      </c>
      <c r="BX97" s="214">
        <f t="shared" si="204"/>
        <v>1450.9696916345058</v>
      </c>
      <c r="BY97" s="214">
        <f t="shared" ref="BY97:BZ97" si="205">+BY96/(32.15074)/(BY100)</f>
        <v>1321.8152631245766</v>
      </c>
      <c r="BZ97" s="214">
        <f t="shared" si="205"/>
        <v>1449.4203224716123</v>
      </c>
      <c r="CA97" s="213">
        <f t="shared" ref="CA97:CB97" si="206">+CA96/(32.15074)/(CA100)</f>
        <v>1756.3155597596228</v>
      </c>
      <c r="CB97" s="214">
        <f t="shared" si="206"/>
        <v>1838.5834610710242</v>
      </c>
      <c r="CC97" s="214">
        <f t="shared" ref="CC97:CF97" si="207">+CC96/(32.15074)/(CC100)</f>
        <v>1803.7979262936578</v>
      </c>
      <c r="CD97" s="259">
        <f t="shared" si="207"/>
        <v>1831.9326281094966</v>
      </c>
      <c r="CE97" s="213">
        <f t="shared" si="207"/>
        <v>2987.7940523399625</v>
      </c>
      <c r="CF97" s="214">
        <f t="shared" si="207"/>
        <v>152159.01169319509</v>
      </c>
      <c r="CG97" s="214">
        <f t="shared" ref="CG97:CJ97" si="208">+CG96/(32.15074)/(CG100)</f>
        <v>2786.6422350053058</v>
      </c>
      <c r="CH97" s="259">
        <f t="shared" si="208"/>
        <v>1996.787098855362</v>
      </c>
      <c r="CI97" s="213">
        <f t="shared" si="208"/>
        <v>2124.4414549980766</v>
      </c>
      <c r="CJ97" s="214">
        <f t="shared" si="208"/>
        <v>1984.037184388131</v>
      </c>
      <c r="CK97" s="214">
        <f t="shared" ref="CK97:CP97" si="209">+CK96/(32.15074)/(CK100)</f>
        <v>1997.4158289242412</v>
      </c>
      <c r="CL97" s="259">
        <f t="shared" si="209"/>
        <v>2373.5026301647376</v>
      </c>
      <c r="CM97" s="213">
        <f t="shared" si="209"/>
        <v>2606.1601938584386</v>
      </c>
      <c r="CN97" s="214">
        <f t="shared" si="209"/>
        <v>2741.6489325978509</v>
      </c>
      <c r="CO97" s="214">
        <f t="shared" si="209"/>
        <v>2795.3199075192169</v>
      </c>
      <c r="CP97" s="259">
        <f t="shared" si="209"/>
        <v>2314.7375683131822</v>
      </c>
      <c r="CQ97" s="213">
        <f t="shared" ref="CQ97:CT97" si="210">+CQ96/(32.15074)/(CQ100)</f>
        <v>3387.5732568826411</v>
      </c>
      <c r="CR97" s="214">
        <f t="shared" si="210"/>
        <v>3331.5316633630273</v>
      </c>
      <c r="CS97" s="214">
        <f t="shared" si="210"/>
        <v>3737.4044099861294</v>
      </c>
      <c r="CT97" s="259">
        <f t="shared" si="210"/>
        <v>4539.1434403302837</v>
      </c>
      <c r="CU97" s="213">
        <f t="shared" ref="CU97:CX97" si="211">+CU96/(32.15074)/(CU100)</f>
        <v>4199.2310078376213</v>
      </c>
      <c r="CV97" s="214">
        <f t="shared" si="211"/>
        <v>4434.7772822405732</v>
      </c>
      <c r="CW97" s="214" t="e">
        <f t="shared" si="211"/>
        <v>#DIV/0!</v>
      </c>
      <c r="CX97" s="259" t="e">
        <f t="shared" si="211"/>
        <v>#DIV/0!</v>
      </c>
    </row>
    <row r="98" spans="1:119" x14ac:dyDescent="0.25">
      <c r="A98" s="225"/>
      <c r="B98" s="227" t="s">
        <v>81</v>
      </c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925">
        <f>+AM96</f>
        <v>289122</v>
      </c>
      <c r="AN98" s="925"/>
      <c r="AO98" s="925"/>
      <c r="AP98" s="925"/>
      <c r="AQ98" s="925">
        <f>+AQ96</f>
        <v>329517</v>
      </c>
      <c r="AR98" s="925"/>
      <c r="AS98" s="925">
        <f>+AS96</f>
        <v>384588</v>
      </c>
      <c r="AT98" s="925"/>
      <c r="AU98" s="8">
        <f>+AU96</f>
        <v>383878</v>
      </c>
      <c r="AV98" s="8">
        <f>+AV96</f>
        <v>334457</v>
      </c>
      <c r="AW98" s="8">
        <f>+AW96</f>
        <v>362834</v>
      </c>
      <c r="AX98" s="8">
        <f>+AX96</f>
        <v>339757</v>
      </c>
      <c r="AY98" s="10">
        <f>+AY96</f>
        <v>347754</v>
      </c>
      <c r="AZ98" s="8">
        <v>342579</v>
      </c>
      <c r="BA98" s="8">
        <f>+BA96</f>
        <v>378311</v>
      </c>
      <c r="BB98" s="9">
        <f>+BB96</f>
        <v>343468</v>
      </c>
      <c r="BC98" s="34">
        <f>+BC96</f>
        <v>502068</v>
      </c>
      <c r="BD98" s="32">
        <v>391797</v>
      </c>
      <c r="BE98" s="32">
        <v>455635</v>
      </c>
      <c r="BF98" s="33">
        <v>398519</v>
      </c>
      <c r="BG98" s="34">
        <v>438712</v>
      </c>
      <c r="BH98" s="32">
        <v>427069</v>
      </c>
      <c r="BI98" s="32">
        <v>452690</v>
      </c>
      <c r="BJ98" s="32">
        <v>423491</v>
      </c>
      <c r="BK98" s="213">
        <v>460277</v>
      </c>
      <c r="BL98" s="214">
        <v>441975</v>
      </c>
      <c r="BM98" s="214">
        <v>425160</v>
      </c>
      <c r="BN98" s="259">
        <v>434798</v>
      </c>
      <c r="BO98" s="213">
        <v>456408</v>
      </c>
      <c r="BP98" s="214">
        <v>489724</v>
      </c>
      <c r="BQ98" s="214">
        <v>516755</v>
      </c>
      <c r="BR98" s="214">
        <v>538413</v>
      </c>
      <c r="BS98" s="213">
        <v>762119</v>
      </c>
      <c r="BT98" s="214">
        <v>713569</v>
      </c>
      <c r="BU98" s="214">
        <v>738971</v>
      </c>
      <c r="BV98" s="259">
        <v>723801</v>
      </c>
      <c r="BW98" s="214">
        <v>825787</v>
      </c>
      <c r="BX98" s="214">
        <v>845654</v>
      </c>
      <c r="BY98" s="214">
        <v>729447</v>
      </c>
      <c r="BZ98" s="214">
        <v>750871</v>
      </c>
      <c r="CA98" s="213">
        <v>865440</v>
      </c>
      <c r="CB98" s="214">
        <v>848782</v>
      </c>
      <c r="CC98" s="214">
        <v>862830</v>
      </c>
      <c r="CD98" s="259">
        <v>933100</v>
      </c>
      <c r="CE98" s="213">
        <v>1486870</v>
      </c>
      <c r="CF98" s="214">
        <v>77600000</v>
      </c>
      <c r="CG98" s="214">
        <v>1598118</v>
      </c>
      <c r="CH98" s="259">
        <v>1157837</v>
      </c>
      <c r="CI98" s="213">
        <v>1228374</v>
      </c>
      <c r="CJ98" s="214">
        <v>1207945</v>
      </c>
      <c r="CK98" s="214">
        <v>1213483</v>
      </c>
      <c r="CL98" s="259">
        <v>1428477</v>
      </c>
      <c r="CM98" s="213">
        <v>1580279</v>
      </c>
      <c r="CN98" s="214">
        <v>1636872</v>
      </c>
      <c r="CO98" s="214">
        <v>1614094</v>
      </c>
      <c r="CP98" s="259">
        <v>1330639</v>
      </c>
      <c r="CQ98" s="213">
        <v>2012712</v>
      </c>
      <c r="CR98" s="214">
        <v>1959064</v>
      </c>
      <c r="CS98" s="214">
        <v>2119628</v>
      </c>
      <c r="CT98" s="259">
        <v>2496979</v>
      </c>
      <c r="CU98" s="213">
        <v>2206037</v>
      </c>
      <c r="CV98" s="214">
        <v>2349741</v>
      </c>
      <c r="CW98" s="214"/>
      <c r="CX98" s="259"/>
    </row>
    <row r="99" spans="1:119" x14ac:dyDescent="0.25">
      <c r="A99" s="225"/>
      <c r="B99" s="227" t="s">
        <v>82</v>
      </c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  <c r="AA99" s="172"/>
      <c r="AB99" s="172"/>
      <c r="AC99" s="172"/>
      <c r="AD99" s="172"/>
      <c r="AE99" s="172"/>
      <c r="AF99" s="172"/>
      <c r="AG99" s="172"/>
      <c r="AH99" s="172"/>
      <c r="AI99" s="172"/>
      <c r="AJ99" s="172"/>
      <c r="AK99" s="172"/>
      <c r="AL99" s="172"/>
      <c r="AM99" s="925">
        <f>+AM97</f>
        <v>1246</v>
      </c>
      <c r="AN99" s="925"/>
      <c r="AO99" s="925"/>
      <c r="AP99" s="925"/>
      <c r="AQ99" s="925">
        <f>+AQ97</f>
        <v>1294</v>
      </c>
      <c r="AR99" s="925"/>
      <c r="AS99" s="925">
        <f>+AS97</f>
        <v>1412</v>
      </c>
      <c r="AT99" s="925"/>
      <c r="AU99" s="8">
        <f t="shared" ref="AU99:BC99" si="212">+AU98/(32.15074)/(AU100)</f>
        <v>1343.075692513647</v>
      </c>
      <c r="AV99" s="8">
        <f t="shared" si="212"/>
        <v>1105.5024086567103</v>
      </c>
      <c r="AW99" s="8">
        <f t="shared" si="212"/>
        <v>1130.8017241422406</v>
      </c>
      <c r="AX99" s="8">
        <f t="shared" si="212"/>
        <v>1045.2647009079492</v>
      </c>
      <c r="AY99" s="10">
        <f t="shared" si="212"/>
        <v>999.66364888791293</v>
      </c>
      <c r="AZ99" s="8">
        <f t="shared" si="212"/>
        <v>1011.9088466896325</v>
      </c>
      <c r="BA99" s="8">
        <f t="shared" si="212"/>
        <v>1097.6483037056253</v>
      </c>
      <c r="BB99" s="9">
        <f t="shared" si="212"/>
        <v>953.84385287199348</v>
      </c>
      <c r="BC99" s="34">
        <f t="shared" si="212"/>
        <v>1334.7062889312929</v>
      </c>
      <c r="BD99" s="32">
        <f>+BD98/(32.15074)/(BD100)-1</f>
        <v>1008.6314324397771</v>
      </c>
      <c r="BE99" s="32">
        <f>+BE98/(32.15074)/(BE100)</f>
        <v>1090.1411959365835</v>
      </c>
      <c r="BF99" s="33">
        <f>+BF98/(32.15074)/(BF100)</f>
        <v>872.29620009245355</v>
      </c>
      <c r="BG99" s="34">
        <f>+BG98/(32.15074)/(BG100)</f>
        <v>864.18437629823927</v>
      </c>
      <c r="BH99" s="32">
        <f>+BH98/(32.15074)/(BH100)</f>
        <v>887.33022360584084</v>
      </c>
      <c r="BI99" s="32">
        <f>+BI98/(32.15074)/(BI100)+1</f>
        <v>1002.4392453261095</v>
      </c>
      <c r="BJ99" s="32">
        <f>+BJ98/(32.15074)/(BJ100)</f>
        <v>948.99460984524842</v>
      </c>
      <c r="BK99" s="213">
        <f>+BK98/(32.15074)/(BK100)</f>
        <v>1083.7409474624935</v>
      </c>
      <c r="BL99" s="214">
        <f>+BL98/(32.15074)/(BL100)</f>
        <v>1041.4365126729447</v>
      </c>
      <c r="BM99" s="214">
        <f>+BM98/(32.15074)/(BM100)+1</f>
        <v>1004.3351212471308</v>
      </c>
      <c r="BN99" s="259">
        <f>+BN98/(32.15074)/(BN100)</f>
        <v>992.20339462082461</v>
      </c>
      <c r="BO99" s="213">
        <f>+BO98/(32.15074)/(BO100)</f>
        <v>1186.9463661918178</v>
      </c>
      <c r="BP99" s="214">
        <f>+BP98/(32.15074)/(BP100)</f>
        <v>1204.1203307853714</v>
      </c>
      <c r="BQ99" s="214">
        <f>+BQ98/(32.15074)/(BQ100)</f>
        <v>1143.9772553443904</v>
      </c>
      <c r="BR99" s="214">
        <f>+BR98/(32.15074)/(BR100)+1</f>
        <v>1171.2669235326632</v>
      </c>
      <c r="BS99" s="213">
        <f t="shared" ref="BS99:BX99" si="213">+BS98/(32.15074)/(BS100)</f>
        <v>1691.9739813240401</v>
      </c>
      <c r="BT99" s="214">
        <f t="shared" si="213"/>
        <v>1542.3545080744152</v>
      </c>
      <c r="BU99" s="214">
        <f t="shared" si="213"/>
        <v>1566.7738275586655</v>
      </c>
      <c r="BV99" s="259">
        <f t="shared" si="213"/>
        <v>1529.397568670473</v>
      </c>
      <c r="BW99" s="214">
        <f t="shared" si="213"/>
        <v>1670.0163877659936</v>
      </c>
      <c r="BX99" s="214">
        <f t="shared" si="213"/>
        <v>1465.3362085612648</v>
      </c>
      <c r="BY99" s="214">
        <f t="shared" ref="BY99:BZ99" si="214">+BY98/(32.15074)/(BY100)</f>
        <v>1341.7115598297219</v>
      </c>
      <c r="BZ99" s="214">
        <f t="shared" si="214"/>
        <v>1496.1373158120521</v>
      </c>
      <c r="CA99" s="213">
        <f t="shared" ref="CA99:CB99" si="215">+CA98/(32.15074)/(CA100)</f>
        <v>1799.3448169366909</v>
      </c>
      <c r="CB99" s="214">
        <f t="shared" si="215"/>
        <v>1868.3706043158168</v>
      </c>
      <c r="CC99" s="214">
        <f t="shared" ref="CC99:CF99" si="216">+CC98/(32.15074)/(CC100)</f>
        <v>1834.382663727903</v>
      </c>
      <c r="CD99" s="259">
        <f t="shared" si="216"/>
        <v>1882.1439774071011</v>
      </c>
      <c r="CE99" s="213">
        <f t="shared" si="216"/>
        <v>3038.5568986975095</v>
      </c>
      <c r="CF99" s="214">
        <f t="shared" si="216"/>
        <v>154819.13359858689</v>
      </c>
      <c r="CG99" s="214">
        <f t="shared" ref="CG99:CJ99" si="217">+CG98/(32.15074)/(CG100)</f>
        <v>2915.3686974877546</v>
      </c>
      <c r="CH99" s="259">
        <f t="shared" si="217"/>
        <v>2045.0178095029726</v>
      </c>
      <c r="CI99" s="213">
        <f t="shared" si="217"/>
        <v>2151.2787171524728</v>
      </c>
      <c r="CJ99" s="214">
        <f t="shared" si="217"/>
        <v>2013.4671467985679</v>
      </c>
      <c r="CK99" s="214">
        <f t="shared" ref="CK99:CP99" si="218">+CK98/(32.15074)/(CK100)</f>
        <v>2030.3145803642717</v>
      </c>
      <c r="CL99" s="259">
        <f t="shared" si="218"/>
        <v>2382.3383542265829</v>
      </c>
      <c r="CM99" s="213">
        <f t="shared" si="218"/>
        <v>2606.1601938584386</v>
      </c>
      <c r="CN99" s="214">
        <f t="shared" si="218"/>
        <v>2741.6489325978509</v>
      </c>
      <c r="CO99" s="214">
        <f t="shared" si="218"/>
        <v>2795.3199075192169</v>
      </c>
      <c r="CP99" s="259">
        <f t="shared" si="218"/>
        <v>2314.7375683131822</v>
      </c>
      <c r="CQ99" s="213">
        <f t="shared" ref="CQ99:CT99" si="219">+CQ98/(32.15074)/(CQ100)</f>
        <v>3387.5732568826411</v>
      </c>
      <c r="CR99" s="214">
        <f t="shared" si="219"/>
        <v>3331.5316633630273</v>
      </c>
      <c r="CS99" s="214">
        <f t="shared" si="219"/>
        <v>3737.4044099861294</v>
      </c>
      <c r="CT99" s="259">
        <f t="shared" si="219"/>
        <v>4539.1434403302837</v>
      </c>
      <c r="CU99" s="213">
        <f t="shared" ref="CU99:CX99" si="220">+CU98/(32.15074)/(CU100)</f>
        <v>4199.2310078376213</v>
      </c>
      <c r="CV99" s="214">
        <f t="shared" si="220"/>
        <v>4434.7772822405732</v>
      </c>
      <c r="CW99" s="214" t="e">
        <f t="shared" si="220"/>
        <v>#DIV/0!</v>
      </c>
      <c r="CX99" s="259" t="e">
        <f t="shared" si="220"/>
        <v>#DIV/0!</v>
      </c>
    </row>
    <row r="100" spans="1:119" x14ac:dyDescent="0.25">
      <c r="A100" s="225"/>
      <c r="B100" s="300" t="s">
        <v>83</v>
      </c>
      <c r="C100" s="36">
        <f t="shared" ref="C100:AH100" si="221">+C50</f>
        <v>11.53</v>
      </c>
      <c r="D100" s="36">
        <f t="shared" si="221"/>
        <v>10.51</v>
      </c>
      <c r="E100" s="36">
        <f t="shared" si="221"/>
        <v>10.38</v>
      </c>
      <c r="F100" s="36">
        <f t="shared" si="221"/>
        <v>9.77</v>
      </c>
      <c r="G100" s="36">
        <f t="shared" si="221"/>
        <v>8.3800000000000008</v>
      </c>
      <c r="H100" s="36">
        <f t="shared" si="221"/>
        <v>7.74</v>
      </c>
      <c r="I100" s="36">
        <f t="shared" si="221"/>
        <v>7.44</v>
      </c>
      <c r="J100" s="36">
        <f t="shared" si="221"/>
        <v>6.76</v>
      </c>
      <c r="K100" s="36">
        <f t="shared" si="221"/>
        <v>6.79</v>
      </c>
      <c r="L100" s="36">
        <f t="shared" si="221"/>
        <v>6.6</v>
      </c>
      <c r="M100" s="36">
        <f t="shared" si="221"/>
        <v>6.36</v>
      </c>
      <c r="N100" s="36">
        <f t="shared" si="221"/>
        <v>6.12</v>
      </c>
      <c r="O100" s="36">
        <f t="shared" si="221"/>
        <v>5.95</v>
      </c>
      <c r="P100" s="36">
        <f t="shared" si="221"/>
        <v>6.39</v>
      </c>
      <c r="Q100" s="36">
        <f t="shared" si="221"/>
        <v>6.52</v>
      </c>
      <c r="R100" s="36">
        <f t="shared" si="221"/>
        <v>6.53</v>
      </c>
      <c r="S100" s="36">
        <f t="shared" si="221"/>
        <v>6.14</v>
      </c>
      <c r="T100" s="36">
        <f t="shared" si="221"/>
        <v>6.39</v>
      </c>
      <c r="U100" s="36">
        <f t="shared" si="221"/>
        <v>7.1</v>
      </c>
      <c r="V100" s="36">
        <f t="shared" si="221"/>
        <v>7.38</v>
      </c>
      <c r="W100" s="36">
        <f t="shared" si="221"/>
        <v>7.21</v>
      </c>
      <c r="X100" s="36">
        <f t="shared" si="221"/>
        <v>7.09</v>
      </c>
      <c r="Y100" s="36">
        <f t="shared" si="221"/>
        <v>7.1</v>
      </c>
      <c r="Z100" s="36">
        <f t="shared" si="221"/>
        <v>6.76</v>
      </c>
      <c r="AA100" s="12">
        <f t="shared" si="221"/>
        <v>7.45</v>
      </c>
      <c r="AB100" s="12">
        <f t="shared" si="221"/>
        <v>7.77</v>
      </c>
      <c r="AC100" s="12">
        <f t="shared" si="221"/>
        <v>7.74</v>
      </c>
      <c r="AD100" s="12">
        <f t="shared" si="221"/>
        <v>9.82</v>
      </c>
      <c r="AE100" s="12">
        <f t="shared" si="221"/>
        <v>9.93</v>
      </c>
      <c r="AF100" s="12">
        <f t="shared" si="221"/>
        <v>8.56</v>
      </c>
      <c r="AG100" s="12">
        <f t="shared" si="221"/>
        <v>7.82</v>
      </c>
      <c r="AH100" s="12">
        <f t="shared" si="221"/>
        <v>7.49</v>
      </c>
      <c r="AI100" s="12">
        <f t="shared" ref="AI100:BJ100" si="222">+AI50</f>
        <v>7.5</v>
      </c>
      <c r="AJ100" s="12">
        <f t="shared" si="222"/>
        <v>7.51</v>
      </c>
      <c r="AK100" s="12">
        <f t="shared" si="222"/>
        <v>7.36</v>
      </c>
      <c r="AL100" s="12">
        <f t="shared" si="222"/>
        <v>6.92</v>
      </c>
      <c r="AM100" s="12">
        <f t="shared" si="222"/>
        <v>6.98</v>
      </c>
      <c r="AN100" s="12">
        <f t="shared" si="222"/>
        <v>6.78</v>
      </c>
      <c r="AO100" s="12">
        <f t="shared" si="222"/>
        <v>7.05</v>
      </c>
      <c r="AP100" s="12">
        <f t="shared" si="222"/>
        <v>8.08</v>
      </c>
      <c r="AQ100" s="12">
        <f t="shared" si="222"/>
        <v>7.77</v>
      </c>
      <c r="AR100" s="12">
        <f t="shared" si="222"/>
        <v>8.06</v>
      </c>
      <c r="AS100" s="12">
        <f t="shared" si="222"/>
        <v>8.26</v>
      </c>
      <c r="AT100" s="12">
        <f t="shared" si="222"/>
        <v>8.67</v>
      </c>
      <c r="AU100" s="12">
        <f t="shared" si="222"/>
        <v>8.89</v>
      </c>
      <c r="AV100" s="12">
        <f t="shared" si="222"/>
        <v>9.41</v>
      </c>
      <c r="AW100" s="12">
        <f t="shared" si="222"/>
        <v>9.98</v>
      </c>
      <c r="AX100" s="12">
        <f t="shared" si="222"/>
        <v>10.11</v>
      </c>
      <c r="AY100" s="11">
        <f t="shared" si="222"/>
        <v>10.82</v>
      </c>
      <c r="AZ100" s="12">
        <f t="shared" si="222"/>
        <v>10.53</v>
      </c>
      <c r="BA100" s="12">
        <f t="shared" si="222"/>
        <v>10.72</v>
      </c>
      <c r="BB100" s="13">
        <f t="shared" si="222"/>
        <v>11.2</v>
      </c>
      <c r="BC100" s="35">
        <f t="shared" si="222"/>
        <v>11.7</v>
      </c>
      <c r="BD100" s="36">
        <f t="shared" si="222"/>
        <v>12.07</v>
      </c>
      <c r="BE100" s="36">
        <f t="shared" si="222"/>
        <v>13</v>
      </c>
      <c r="BF100" s="37">
        <f t="shared" si="222"/>
        <v>14.21</v>
      </c>
      <c r="BG100" s="35">
        <f t="shared" si="222"/>
        <v>15.79</v>
      </c>
      <c r="BH100" s="36">
        <f t="shared" si="222"/>
        <v>14.97</v>
      </c>
      <c r="BI100" s="36">
        <f t="shared" si="222"/>
        <v>14.06</v>
      </c>
      <c r="BJ100" s="36">
        <f t="shared" si="222"/>
        <v>13.88</v>
      </c>
      <c r="BK100" s="225">
        <v>13.21</v>
      </c>
      <c r="BL100" s="208">
        <v>13.2</v>
      </c>
      <c r="BM100" s="208">
        <v>13.18</v>
      </c>
      <c r="BN100" s="227">
        <v>13.63</v>
      </c>
      <c r="BO100" s="301">
        <v>11.96</v>
      </c>
      <c r="BP100" s="297">
        <v>12.65</v>
      </c>
      <c r="BQ100" s="297">
        <v>14.05</v>
      </c>
      <c r="BR100" s="297">
        <v>14.31</v>
      </c>
      <c r="BS100" s="301">
        <v>14.01</v>
      </c>
      <c r="BT100" s="297">
        <v>14.39</v>
      </c>
      <c r="BU100" s="297">
        <v>14.67</v>
      </c>
      <c r="BV100" s="302">
        <v>14.72</v>
      </c>
      <c r="BW100" s="297">
        <v>15.38</v>
      </c>
      <c r="BX100" s="297">
        <v>17.95</v>
      </c>
      <c r="BY100" s="297">
        <v>16.91</v>
      </c>
      <c r="BZ100" s="297">
        <v>15.61</v>
      </c>
      <c r="CA100" s="301">
        <v>14.96</v>
      </c>
      <c r="CB100" s="297">
        <v>14.13</v>
      </c>
      <c r="CC100" s="297">
        <v>14.63</v>
      </c>
      <c r="CD100" s="302">
        <v>15.42</v>
      </c>
      <c r="CE100" s="301">
        <v>15.22</v>
      </c>
      <c r="CF100" s="297">
        <v>15.59</v>
      </c>
      <c r="CG100" s="297">
        <v>17.05</v>
      </c>
      <c r="CH100" s="302">
        <v>17.61</v>
      </c>
      <c r="CI100" s="301">
        <v>17.760000000000002</v>
      </c>
      <c r="CJ100" s="297">
        <v>18.66</v>
      </c>
      <c r="CK100" s="297">
        <v>18.59</v>
      </c>
      <c r="CL100" s="326">
        <v>18.649999999999999</v>
      </c>
      <c r="CM100" s="301">
        <v>18.86</v>
      </c>
      <c r="CN100" s="297">
        <v>18.57</v>
      </c>
      <c r="CO100" s="297">
        <v>17.96</v>
      </c>
      <c r="CP100" s="326">
        <v>17.88</v>
      </c>
      <c r="CQ100" s="301">
        <v>18.48</v>
      </c>
      <c r="CR100" s="297">
        <v>18.29</v>
      </c>
      <c r="CS100" s="297">
        <v>17.64</v>
      </c>
      <c r="CT100" s="326">
        <v>17.11</v>
      </c>
      <c r="CU100" s="301">
        <v>16.34</v>
      </c>
      <c r="CV100" s="297">
        <v>16.48</v>
      </c>
      <c r="CW100" s="297"/>
      <c r="CX100" s="326"/>
    </row>
    <row r="101" spans="1:119" x14ac:dyDescent="0.25">
      <c r="A101" s="225"/>
      <c r="B101" s="227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10"/>
      <c r="AZ101" s="8"/>
      <c r="BA101" s="8"/>
      <c r="BB101" s="9"/>
      <c r="BC101" s="43"/>
      <c r="BD101" s="44"/>
      <c r="BE101" s="44"/>
      <c r="BF101" s="45"/>
      <c r="BG101" s="43"/>
      <c r="BH101" s="44"/>
      <c r="BI101" s="8"/>
      <c r="BK101" s="225"/>
      <c r="BL101" s="208"/>
      <c r="BM101" s="208"/>
      <c r="BN101" s="227"/>
      <c r="BO101" s="225"/>
      <c r="BP101" s="208"/>
      <c r="BQ101" s="208"/>
      <c r="BR101" s="208"/>
      <c r="BS101" s="225"/>
      <c r="BT101" s="208"/>
      <c r="BU101" s="208"/>
      <c r="BV101" s="227"/>
      <c r="BW101" s="208"/>
      <c r="BX101" s="208"/>
      <c r="BY101" s="208"/>
      <c r="BZ101" s="208"/>
      <c r="CA101" s="225"/>
      <c r="CB101" s="208"/>
      <c r="CC101" s="208"/>
      <c r="CD101" s="227"/>
      <c r="CE101" s="225"/>
      <c r="CF101" s="208"/>
      <c r="CG101" s="208"/>
      <c r="CH101" s="227"/>
      <c r="CI101" s="225"/>
      <c r="CJ101" s="208"/>
      <c r="CK101" s="208"/>
      <c r="CL101" s="227"/>
      <c r="CM101" s="225"/>
      <c r="CN101" s="208"/>
      <c r="CO101" s="208"/>
      <c r="CP101" s="227"/>
      <c r="CQ101" s="225"/>
      <c r="CR101" s="208"/>
      <c r="CS101" s="208"/>
      <c r="CT101" s="227"/>
      <c r="CU101" s="225"/>
      <c r="CV101" s="208"/>
      <c r="CW101" s="208"/>
      <c r="CX101" s="227"/>
    </row>
    <row r="102" spans="1:119" x14ac:dyDescent="0.25">
      <c r="A102" s="307"/>
      <c r="B102" s="305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174"/>
      <c r="AZ102" s="7"/>
      <c r="BA102" s="7"/>
      <c r="BB102" s="175"/>
      <c r="BC102" s="176"/>
      <c r="BD102" s="177"/>
      <c r="BE102" s="177"/>
      <c r="BF102" s="178"/>
      <c r="BG102" s="176"/>
      <c r="BH102" s="177"/>
      <c r="BI102" s="7"/>
      <c r="BJ102" s="28"/>
      <c r="BK102" s="307"/>
      <c r="BL102" s="313"/>
      <c r="BM102" s="313"/>
      <c r="BN102" s="305"/>
      <c r="BO102" s="307"/>
      <c r="BP102" s="313"/>
      <c r="BQ102" s="313"/>
      <c r="BR102" s="313"/>
      <c r="BS102" s="307"/>
      <c r="BT102" s="313"/>
      <c r="BU102" s="313"/>
      <c r="BV102" s="305"/>
      <c r="BW102" s="313"/>
      <c r="BX102" s="313"/>
      <c r="BY102" s="313"/>
      <c r="BZ102" s="313"/>
      <c r="CA102" s="307"/>
      <c r="CB102" s="313"/>
      <c r="CC102" s="313"/>
      <c r="CD102" s="305"/>
      <c r="CE102" s="307"/>
      <c r="CF102" s="313"/>
      <c r="CG102" s="313"/>
      <c r="CH102" s="305"/>
      <c r="CI102" s="307"/>
      <c r="CJ102" s="313"/>
      <c r="CK102" s="313"/>
      <c r="CL102" s="305"/>
      <c r="CM102" s="307"/>
      <c r="CN102" s="313"/>
      <c r="CO102" s="313"/>
      <c r="CP102" s="305"/>
      <c r="CQ102" s="307"/>
      <c r="CR102" s="313"/>
      <c r="CS102" s="313"/>
      <c r="CT102" s="305"/>
      <c r="CU102" s="307"/>
      <c r="CV102" s="313"/>
      <c r="CW102" s="313"/>
      <c r="CX102" s="305"/>
    </row>
    <row r="103" spans="1:119" ht="21" x14ac:dyDescent="0.35">
      <c r="A103" s="166"/>
      <c r="B103" s="165" t="s">
        <v>85</v>
      </c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103"/>
      <c r="AT103" s="103"/>
      <c r="AU103" s="103"/>
      <c r="AV103" s="103"/>
      <c r="AW103" s="103"/>
      <c r="AX103" s="103"/>
      <c r="AY103" s="104"/>
      <c r="AZ103" s="106"/>
      <c r="BA103" s="106"/>
      <c r="BB103" s="108"/>
      <c r="BC103" s="107"/>
      <c r="BD103" s="106"/>
      <c r="BE103" s="106"/>
      <c r="BF103" s="108"/>
      <c r="BG103" s="107"/>
      <c r="BH103" s="106"/>
      <c r="BI103" s="106"/>
      <c r="BJ103" s="106"/>
      <c r="BK103" s="107"/>
      <c r="BL103" s="106"/>
      <c r="BM103" s="106"/>
      <c r="BN103" s="108"/>
      <c r="BO103" s="107"/>
      <c r="BP103" s="106"/>
      <c r="BQ103" s="106"/>
      <c r="BR103" s="106"/>
      <c r="BS103" s="107"/>
      <c r="BT103" s="106"/>
      <c r="BU103" s="106"/>
      <c r="BV103" s="108"/>
      <c r="BW103" s="106"/>
      <c r="BX103" s="106"/>
      <c r="BY103" s="106"/>
      <c r="BZ103" s="106"/>
      <c r="CA103" s="107"/>
      <c r="CB103" s="106"/>
      <c r="CC103" s="106"/>
      <c r="CD103" s="108"/>
      <c r="CE103" s="107"/>
      <c r="CF103" s="106"/>
      <c r="CG103" s="106"/>
      <c r="CH103" s="108"/>
      <c r="CI103" s="107"/>
      <c r="CJ103" s="106"/>
      <c r="CK103" s="106"/>
      <c r="CL103" s="108"/>
      <c r="CM103" s="107"/>
      <c r="CN103" s="106"/>
      <c r="CO103" s="106"/>
      <c r="CP103" s="108"/>
      <c r="CQ103" s="107"/>
      <c r="CR103" s="106"/>
      <c r="CS103" s="106"/>
      <c r="CT103" s="108"/>
      <c r="CU103" s="107"/>
      <c r="CV103" s="106"/>
      <c r="CW103" s="106"/>
      <c r="CX103" s="108"/>
    </row>
    <row r="104" spans="1:119" x14ac:dyDescent="0.25">
      <c r="A104" s="225"/>
      <c r="B104" s="290" t="s">
        <v>51</v>
      </c>
      <c r="C104" s="32">
        <v>8465</v>
      </c>
      <c r="D104" s="32">
        <v>9975</v>
      </c>
      <c r="E104" s="32">
        <v>11404</v>
      </c>
      <c r="F104" s="32">
        <v>12314</v>
      </c>
      <c r="G104" s="32">
        <v>11133</v>
      </c>
      <c r="H104" s="32">
        <v>11318</v>
      </c>
      <c r="I104" s="32">
        <v>11792</v>
      </c>
      <c r="J104" s="32">
        <v>11529</v>
      </c>
      <c r="K104" s="32">
        <v>10044</v>
      </c>
      <c r="L104" s="32">
        <v>10170</v>
      </c>
      <c r="M104" s="32">
        <v>9964</v>
      </c>
      <c r="N104" s="32">
        <v>9450</v>
      </c>
      <c r="O104" s="32">
        <v>9555</v>
      </c>
      <c r="P104" s="32">
        <v>9471</v>
      </c>
      <c r="Q104" s="32">
        <v>7530</v>
      </c>
      <c r="R104" s="32">
        <v>9072</v>
      </c>
      <c r="S104" s="32">
        <v>9221</v>
      </c>
      <c r="T104" s="32">
        <v>10041</v>
      </c>
      <c r="U104" s="32">
        <v>10995</v>
      </c>
      <c r="V104" s="32">
        <v>11416</v>
      </c>
      <c r="W104" s="32">
        <v>10364</v>
      </c>
      <c r="X104" s="32">
        <v>11016</v>
      </c>
      <c r="Y104" s="32">
        <v>11251</v>
      </c>
      <c r="Z104" s="32">
        <v>10653</v>
      </c>
      <c r="AA104" s="8">
        <f>7183+2058</f>
        <v>9241</v>
      </c>
      <c r="AB104" s="8">
        <f>7301+2352</f>
        <v>9653</v>
      </c>
      <c r="AC104" s="8">
        <v>9260</v>
      </c>
      <c r="AD104" s="8">
        <v>8054</v>
      </c>
      <c r="AE104" s="8">
        <v>7251</v>
      </c>
      <c r="AF104" s="8">
        <v>8065</v>
      </c>
      <c r="AG104" s="8">
        <f>5041+1973</f>
        <v>7014</v>
      </c>
      <c r="AH104" s="8">
        <f>5837+2042</f>
        <v>7879</v>
      </c>
      <c r="AI104" s="8">
        <f>5146+1743</f>
        <v>6889</v>
      </c>
      <c r="AJ104" s="8">
        <f>5839+2151</f>
        <v>7990</v>
      </c>
      <c r="AK104" s="8">
        <f>4779+1707</f>
        <v>6486</v>
      </c>
      <c r="AL104" s="8">
        <f>4436+1755</f>
        <v>6191</v>
      </c>
      <c r="AM104" s="8">
        <v>5135</v>
      </c>
      <c r="AN104" s="8">
        <v>6682</v>
      </c>
      <c r="AO104" s="8">
        <v>5442</v>
      </c>
      <c r="AP104" s="8">
        <v>6123</v>
      </c>
      <c r="AQ104" s="8">
        <v>5151</v>
      </c>
      <c r="AR104" s="8">
        <v>6116</v>
      </c>
      <c r="AS104" s="8">
        <v>4986</v>
      </c>
      <c r="AT104" s="8">
        <v>3863</v>
      </c>
      <c r="AU104" s="8">
        <v>3992</v>
      </c>
      <c r="AV104" s="8">
        <v>4838</v>
      </c>
      <c r="AW104" s="8">
        <v>4390</v>
      </c>
      <c r="AX104" s="8">
        <v>4311</v>
      </c>
      <c r="AY104" s="10">
        <v>3520</v>
      </c>
      <c r="AZ104">
        <f>4306+993</f>
        <v>5299</v>
      </c>
      <c r="BA104">
        <v>5024</v>
      </c>
      <c r="BB104" s="23">
        <v>5890</v>
      </c>
      <c r="BC104" s="49">
        <v>4627</v>
      </c>
      <c r="BD104" s="50">
        <v>5680</v>
      </c>
      <c r="BE104" s="50">
        <v>5957</v>
      </c>
      <c r="BF104" s="51">
        <v>5335</v>
      </c>
      <c r="BG104" s="49">
        <v>5123</v>
      </c>
      <c r="BH104" s="50">
        <v>5562</v>
      </c>
      <c r="BI104">
        <f>4503+756</f>
        <v>5259</v>
      </c>
      <c r="BJ104">
        <f>4613+723</f>
        <v>5336</v>
      </c>
      <c r="BK104" s="225">
        <f>3698+476</f>
        <v>4174</v>
      </c>
      <c r="BL104" s="208">
        <f>4143+417</f>
        <v>4560</v>
      </c>
      <c r="BM104" s="208">
        <f>4617+210</f>
        <v>4827</v>
      </c>
      <c r="BN104" s="227">
        <v>4408</v>
      </c>
      <c r="BO104" s="213">
        <f>3909+64</f>
        <v>3973</v>
      </c>
      <c r="BP104" s="214">
        <f>4486+29</f>
        <v>4515</v>
      </c>
      <c r="BQ104" s="214">
        <v>4374</v>
      </c>
      <c r="BR104" s="214">
        <f>(3223+38)</f>
        <v>3261</v>
      </c>
      <c r="BS104" s="213">
        <f>+(536)</f>
        <v>536</v>
      </c>
      <c r="BT104" s="214">
        <f>+(1715+19)</f>
        <v>1734</v>
      </c>
      <c r="BU104" s="214">
        <f>3505+166</f>
        <v>3671</v>
      </c>
      <c r="BV104" s="259">
        <f>3734+264</f>
        <v>3998</v>
      </c>
      <c r="BW104" s="214">
        <f>3150+159</f>
        <v>3309</v>
      </c>
      <c r="BX104" s="214">
        <f>804+66</f>
        <v>870</v>
      </c>
      <c r="BY104" s="214">
        <f>1750+135</f>
        <v>1885</v>
      </c>
      <c r="BZ104" s="214">
        <f>2708+154</f>
        <v>2862</v>
      </c>
      <c r="CA104" s="213">
        <f>2799+105</f>
        <v>2904</v>
      </c>
      <c r="CB104" s="214">
        <v>3184</v>
      </c>
      <c r="CC104" s="214">
        <v>3221</v>
      </c>
      <c r="CD104" s="259">
        <v>2858</v>
      </c>
      <c r="CE104" s="213">
        <v>839</v>
      </c>
      <c r="CF104" s="214">
        <v>0</v>
      </c>
      <c r="CG104" s="214">
        <v>1704</v>
      </c>
      <c r="CH104" s="259">
        <v>2613</v>
      </c>
      <c r="CI104" s="213">
        <v>1925</v>
      </c>
      <c r="CJ104" s="214">
        <v>2061</v>
      </c>
      <c r="CK104" s="214">
        <v>1928</v>
      </c>
      <c r="CL104" s="259">
        <v>1584</v>
      </c>
      <c r="CM104" s="213">
        <v>1334</v>
      </c>
      <c r="CN104" s="214">
        <v>1613</v>
      </c>
      <c r="CO104" s="214">
        <v>1454</v>
      </c>
      <c r="CP104" s="259">
        <v>1442</v>
      </c>
      <c r="CQ104" s="213">
        <v>1340</v>
      </c>
      <c r="CR104" s="214">
        <v>1657</v>
      </c>
      <c r="CS104" s="214">
        <v>1687</v>
      </c>
      <c r="CT104" s="259">
        <v>1681</v>
      </c>
      <c r="CU104" s="213">
        <v>1425</v>
      </c>
      <c r="CV104" s="214">
        <v>1358</v>
      </c>
      <c r="CW104" s="214"/>
      <c r="CX104" s="259"/>
    </row>
    <row r="105" spans="1:119" x14ac:dyDescent="0.25">
      <c r="A105" s="225"/>
      <c r="B105" s="290" t="s">
        <v>262</v>
      </c>
      <c r="C105" s="32">
        <v>170638</v>
      </c>
      <c r="D105" s="32">
        <v>184591</v>
      </c>
      <c r="E105" s="32">
        <v>197967</v>
      </c>
      <c r="F105" s="32">
        <v>205176</v>
      </c>
      <c r="G105" s="32">
        <v>188363</v>
      </c>
      <c r="H105" s="32">
        <v>199996</v>
      </c>
      <c r="I105" s="32">
        <v>197942</v>
      </c>
      <c r="J105" s="32">
        <v>200986</v>
      </c>
      <c r="K105" s="32">
        <v>181102</v>
      </c>
      <c r="L105" s="32">
        <v>197606</v>
      </c>
      <c r="M105" s="32">
        <v>205744</v>
      </c>
      <c r="N105" s="32">
        <v>203051</v>
      </c>
      <c r="O105" s="32">
        <v>176537</v>
      </c>
      <c r="P105" s="32">
        <v>177703</v>
      </c>
      <c r="Q105" s="32">
        <v>147948</v>
      </c>
      <c r="R105" s="32">
        <v>186204</v>
      </c>
      <c r="S105" s="32">
        <v>173142</v>
      </c>
      <c r="T105" s="32">
        <v>178544</v>
      </c>
      <c r="U105" s="32">
        <v>189811</v>
      </c>
      <c r="V105" s="32">
        <v>177732</v>
      </c>
      <c r="W105" s="32">
        <v>161699</v>
      </c>
      <c r="X105" s="32">
        <v>173441</v>
      </c>
      <c r="Y105" s="32">
        <v>173453</v>
      </c>
      <c r="Z105" s="32">
        <v>161372</v>
      </c>
      <c r="AA105" s="8">
        <v>138809</v>
      </c>
      <c r="AB105" s="8">
        <v>151494</v>
      </c>
      <c r="AC105" s="8">
        <v>139182</v>
      </c>
      <c r="AD105" s="8">
        <v>148811</v>
      </c>
      <c r="AE105" s="8">
        <v>131251</v>
      </c>
      <c r="AF105" s="8">
        <v>145927</v>
      </c>
      <c r="AG105" s="8">
        <v>137481</v>
      </c>
      <c r="AH105" s="8">
        <v>137337</v>
      </c>
      <c r="AI105" s="8">
        <v>124697</v>
      </c>
      <c r="AJ105" s="8">
        <v>132249</v>
      </c>
      <c r="AK105" s="8">
        <v>132295</v>
      </c>
      <c r="AL105" s="8">
        <v>120584</v>
      </c>
      <c r="AM105" s="8">
        <v>96096</v>
      </c>
      <c r="AN105" s="8">
        <v>136896</v>
      </c>
      <c r="AO105" s="8">
        <v>105283</v>
      </c>
      <c r="AP105" s="8">
        <v>124876</v>
      </c>
      <c r="AQ105" s="8">
        <v>100653</v>
      </c>
      <c r="AR105" s="8">
        <v>116030</v>
      </c>
      <c r="AS105" s="8">
        <v>101033</v>
      </c>
      <c r="AT105" s="8">
        <v>74696</v>
      </c>
      <c r="AU105" s="8">
        <v>90434</v>
      </c>
      <c r="AV105" s="8">
        <v>107481</v>
      </c>
      <c r="AW105" s="8">
        <v>113875</v>
      </c>
      <c r="AX105" s="8">
        <v>122648</v>
      </c>
      <c r="AY105" s="10">
        <v>89698</v>
      </c>
      <c r="AZ105" s="8">
        <v>106764</v>
      </c>
      <c r="BA105" s="8">
        <v>89381</v>
      </c>
      <c r="BB105" s="9">
        <v>98858</v>
      </c>
      <c r="BC105" s="34">
        <v>92289</v>
      </c>
      <c r="BD105" s="32">
        <v>109754</v>
      </c>
      <c r="BE105" s="32">
        <v>111964</v>
      </c>
      <c r="BF105" s="33">
        <v>102677</v>
      </c>
      <c r="BG105" s="34">
        <v>102189</v>
      </c>
      <c r="BH105" s="32">
        <v>118776</v>
      </c>
      <c r="BI105" s="32">
        <v>105836</v>
      </c>
      <c r="BJ105" s="32">
        <v>110415</v>
      </c>
      <c r="BK105" s="213">
        <v>98088</v>
      </c>
      <c r="BL105" s="214">
        <v>110132</v>
      </c>
      <c r="BM105" s="214">
        <v>102184</v>
      </c>
      <c r="BN105" s="259">
        <v>95696</v>
      </c>
      <c r="BO105" s="213">
        <v>78826</v>
      </c>
      <c r="BP105" s="214">
        <v>97191</v>
      </c>
      <c r="BQ105" s="214">
        <v>87826</v>
      </c>
      <c r="BR105" s="214">
        <v>68196</v>
      </c>
      <c r="BS105" s="213">
        <v>23008</v>
      </c>
      <c r="BT105" s="214">
        <v>46651</v>
      </c>
      <c r="BU105" s="214">
        <v>75548</v>
      </c>
      <c r="BV105" s="259">
        <v>76878</v>
      </c>
      <c r="BW105" s="214">
        <v>66664</v>
      </c>
      <c r="BX105" s="214">
        <v>28084</v>
      </c>
      <c r="BY105" s="214">
        <v>49435</v>
      </c>
      <c r="BZ105" s="214">
        <v>59037</v>
      </c>
      <c r="CA105" s="213">
        <v>59529</v>
      </c>
      <c r="CB105" s="214">
        <v>72124</v>
      </c>
      <c r="CC105" s="214">
        <v>78536</v>
      </c>
      <c r="CD105" s="259">
        <v>57072</v>
      </c>
      <c r="CE105" s="213">
        <v>19099</v>
      </c>
      <c r="CF105" s="214">
        <v>0</v>
      </c>
      <c r="CG105" s="214">
        <v>46713</v>
      </c>
      <c r="CH105" s="259">
        <v>60974</v>
      </c>
      <c r="CI105" s="213">
        <v>49621</v>
      </c>
      <c r="CJ105" s="214">
        <v>53770</v>
      </c>
      <c r="CK105" s="214">
        <v>50750</v>
      </c>
      <c r="CL105" s="259">
        <v>50745</v>
      </c>
      <c r="CM105" s="213">
        <v>43213</v>
      </c>
      <c r="CN105" s="214">
        <v>37240</v>
      </c>
      <c r="CO105" s="214">
        <v>55010</v>
      </c>
      <c r="CP105" s="259">
        <v>54352</v>
      </c>
      <c r="CQ105" s="213">
        <v>46665</v>
      </c>
      <c r="CR105" s="214">
        <v>58520</v>
      </c>
      <c r="CS105" s="214">
        <v>57127</v>
      </c>
      <c r="CT105" s="259">
        <v>48847</v>
      </c>
      <c r="CU105" s="213">
        <v>44429</v>
      </c>
      <c r="CV105" s="214">
        <v>49269</v>
      </c>
      <c r="CW105" s="214"/>
      <c r="CX105" s="259"/>
    </row>
    <row r="106" spans="1:119" x14ac:dyDescent="0.25">
      <c r="A106" s="225"/>
      <c r="B106" s="292" t="s">
        <v>123</v>
      </c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10"/>
      <c r="BB106" s="23"/>
      <c r="BC106" s="49"/>
      <c r="BD106" s="50"/>
      <c r="BE106" s="50"/>
      <c r="BF106" s="51"/>
      <c r="BG106" s="49"/>
      <c r="BH106" s="50"/>
      <c r="BK106" s="225"/>
      <c r="BL106" s="208"/>
      <c r="BM106" s="208"/>
      <c r="BN106" s="227"/>
      <c r="BO106" s="294"/>
      <c r="BP106" s="208"/>
      <c r="BQ106" s="208"/>
      <c r="BR106" s="208"/>
      <c r="BS106" s="225"/>
      <c r="BT106" s="208"/>
      <c r="BU106" s="208"/>
      <c r="BV106" s="227"/>
      <c r="BW106" s="208"/>
      <c r="BX106" s="208"/>
      <c r="BY106" s="208"/>
      <c r="BZ106" s="208"/>
      <c r="CA106" s="225"/>
      <c r="CB106" s="208"/>
      <c r="CC106" s="208"/>
      <c r="CD106" s="227"/>
      <c r="CE106" s="225"/>
      <c r="CF106" s="208"/>
      <c r="CG106" s="208"/>
      <c r="CH106" s="227"/>
      <c r="CI106" s="225"/>
      <c r="CJ106" s="208"/>
      <c r="CK106" s="208"/>
      <c r="CL106" s="227"/>
      <c r="CM106" s="225"/>
      <c r="CN106" s="208"/>
      <c r="CO106" s="208"/>
      <c r="CP106" s="227"/>
      <c r="CQ106" s="225"/>
      <c r="CR106" s="208"/>
      <c r="CS106" s="208"/>
      <c r="CT106" s="227"/>
      <c r="CU106" s="225"/>
      <c r="CV106" s="208"/>
      <c r="CW106" s="208"/>
      <c r="CX106" s="227"/>
    </row>
    <row r="107" spans="1:119" x14ac:dyDescent="0.25">
      <c r="A107" s="225"/>
      <c r="B107" s="227" t="s">
        <v>52</v>
      </c>
      <c r="C107" s="32">
        <v>821</v>
      </c>
      <c r="D107" s="32">
        <v>979</v>
      </c>
      <c r="E107" s="32">
        <v>1015</v>
      </c>
      <c r="F107" s="32">
        <v>1009</v>
      </c>
      <c r="G107" s="32">
        <v>1027</v>
      </c>
      <c r="H107" s="32">
        <v>1002</v>
      </c>
      <c r="I107" s="32">
        <v>1054</v>
      </c>
      <c r="J107" s="32">
        <v>1000</v>
      </c>
      <c r="K107" s="32">
        <v>1003</v>
      </c>
      <c r="L107" s="32">
        <v>968</v>
      </c>
      <c r="M107" s="32">
        <v>1029</v>
      </c>
      <c r="N107" s="32">
        <v>1016</v>
      </c>
      <c r="O107" s="32">
        <v>897</v>
      </c>
      <c r="P107" s="32">
        <v>910</v>
      </c>
      <c r="Q107" s="32">
        <v>831</v>
      </c>
      <c r="R107" s="32">
        <v>931</v>
      </c>
      <c r="S107" s="32">
        <v>905</v>
      </c>
      <c r="T107" s="32">
        <v>884</v>
      </c>
      <c r="U107" s="32">
        <v>984</v>
      </c>
      <c r="V107" s="32">
        <v>935</v>
      </c>
      <c r="W107" s="32">
        <v>807</v>
      </c>
      <c r="X107" s="32">
        <v>864</v>
      </c>
      <c r="Y107" s="32">
        <v>913</v>
      </c>
      <c r="Z107" s="32">
        <v>868</v>
      </c>
      <c r="AA107" s="8">
        <v>656</v>
      </c>
      <c r="AB107" s="8">
        <v>778</v>
      </c>
      <c r="AC107" s="8">
        <v>790</v>
      </c>
      <c r="AD107" s="8">
        <v>798</v>
      </c>
      <c r="AE107" s="8">
        <v>629</v>
      </c>
      <c r="AF107" s="8">
        <v>774</v>
      </c>
      <c r="AG107" s="8">
        <v>768</v>
      </c>
      <c r="AH107" s="8">
        <v>786</v>
      </c>
      <c r="AI107" s="8">
        <v>610</v>
      </c>
      <c r="AJ107" s="8">
        <v>697</v>
      </c>
      <c r="AK107" s="8">
        <v>686</v>
      </c>
      <c r="AL107" s="8">
        <v>666</v>
      </c>
      <c r="AM107" s="8">
        <v>499</v>
      </c>
      <c r="AN107" s="8">
        <v>648</v>
      </c>
      <c r="AO107" s="8">
        <v>547</v>
      </c>
      <c r="AP107" s="8">
        <v>647</v>
      </c>
      <c r="AQ107" s="8">
        <v>539</v>
      </c>
      <c r="AR107" s="8">
        <v>543</v>
      </c>
      <c r="AS107" s="8">
        <v>551</v>
      </c>
      <c r="AT107" s="8">
        <v>436</v>
      </c>
      <c r="AU107" s="8">
        <v>431</v>
      </c>
      <c r="AV107" s="8">
        <v>554</v>
      </c>
      <c r="AW107" s="8">
        <v>641</v>
      </c>
      <c r="AX107" s="8">
        <v>745</v>
      </c>
      <c r="AY107" s="10">
        <v>550</v>
      </c>
      <c r="AZ107" s="8">
        <v>646</v>
      </c>
      <c r="BA107" s="8">
        <v>657</v>
      </c>
      <c r="BB107" s="9">
        <v>718</v>
      </c>
      <c r="BC107" s="34">
        <v>582</v>
      </c>
      <c r="BD107" s="32">
        <v>700</v>
      </c>
      <c r="BE107" s="32">
        <v>780</v>
      </c>
      <c r="BF107" s="33">
        <v>661</v>
      </c>
      <c r="BG107" s="34">
        <v>656</v>
      </c>
      <c r="BH107" s="32">
        <v>762</v>
      </c>
      <c r="BI107" s="32">
        <v>743</v>
      </c>
      <c r="BJ107" s="32">
        <v>701</v>
      </c>
      <c r="BK107" s="213">
        <v>621</v>
      </c>
      <c r="BL107" s="214">
        <v>744</v>
      </c>
      <c r="BM107" s="214">
        <v>725</v>
      </c>
      <c r="BN107" s="259">
        <v>647</v>
      </c>
      <c r="BO107" s="213">
        <v>547</v>
      </c>
      <c r="BP107" s="249">
        <v>685</v>
      </c>
      <c r="BQ107" s="249">
        <v>629</v>
      </c>
      <c r="BR107" s="249">
        <v>421</v>
      </c>
      <c r="BS107" s="262">
        <v>174</v>
      </c>
      <c r="BT107" s="249">
        <v>362</v>
      </c>
      <c r="BU107" s="249">
        <v>558</v>
      </c>
      <c r="BV107" s="291">
        <v>528</v>
      </c>
      <c r="BW107" s="249">
        <v>452</v>
      </c>
      <c r="BX107" s="249">
        <v>189</v>
      </c>
      <c r="BY107" s="249">
        <v>354</v>
      </c>
      <c r="BZ107" s="249">
        <v>414</v>
      </c>
      <c r="CA107" s="262">
        <v>439</v>
      </c>
      <c r="CB107" s="249">
        <v>492</v>
      </c>
      <c r="CC107" s="249">
        <v>549</v>
      </c>
      <c r="CD107" s="291">
        <v>346</v>
      </c>
      <c r="CE107" s="262">
        <v>0</v>
      </c>
      <c r="CF107" s="249">
        <v>0</v>
      </c>
      <c r="CG107" s="249">
        <v>490</v>
      </c>
      <c r="CH107" s="291">
        <v>439</v>
      </c>
      <c r="CI107" s="262">
        <v>351</v>
      </c>
      <c r="CJ107" s="249">
        <v>374</v>
      </c>
      <c r="CK107" s="249">
        <v>350</v>
      </c>
      <c r="CL107" s="291">
        <v>344</v>
      </c>
      <c r="CM107" s="262">
        <v>322</v>
      </c>
      <c r="CN107" s="249">
        <v>279</v>
      </c>
      <c r="CO107" s="249">
        <v>332</v>
      </c>
      <c r="CP107" s="291">
        <v>363</v>
      </c>
      <c r="CQ107" s="262">
        <v>301</v>
      </c>
      <c r="CR107" s="249">
        <v>302.75599999999997</v>
      </c>
      <c r="CS107" s="249">
        <v>332</v>
      </c>
      <c r="CT107" s="291">
        <v>372.66800000000001</v>
      </c>
      <c r="CU107" s="262">
        <v>335</v>
      </c>
      <c r="CV107" s="249">
        <v>300</v>
      </c>
      <c r="CW107" s="249"/>
      <c r="CX107" s="291"/>
    </row>
    <row r="108" spans="1:119" x14ac:dyDescent="0.25">
      <c r="A108" s="225"/>
      <c r="B108" s="227" t="s">
        <v>53</v>
      </c>
      <c r="C108" s="32">
        <v>169</v>
      </c>
      <c r="D108" s="32">
        <v>156</v>
      </c>
      <c r="E108" s="32">
        <v>149</v>
      </c>
      <c r="F108" s="32">
        <v>163</v>
      </c>
      <c r="G108" s="32">
        <v>175</v>
      </c>
      <c r="H108" s="32">
        <v>182</v>
      </c>
      <c r="I108" s="32">
        <v>329</v>
      </c>
      <c r="J108" s="32">
        <v>390</v>
      </c>
      <c r="K108" s="32">
        <v>450</v>
      </c>
      <c r="L108" s="32">
        <v>254</v>
      </c>
      <c r="M108" s="32">
        <v>147</v>
      </c>
      <c r="N108" s="32">
        <v>75</v>
      </c>
      <c r="O108" s="32">
        <v>107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2">
        <v>0</v>
      </c>
      <c r="W108" s="32">
        <v>0</v>
      </c>
      <c r="X108" s="32">
        <v>0</v>
      </c>
      <c r="Y108" s="32">
        <v>0</v>
      </c>
      <c r="Z108" s="32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23</v>
      </c>
      <c r="AH108" s="8">
        <v>31</v>
      </c>
      <c r="AI108" s="8">
        <v>116</v>
      </c>
      <c r="AJ108" s="8">
        <v>20</v>
      </c>
      <c r="AK108" s="8">
        <v>251</v>
      </c>
      <c r="AL108" s="8">
        <v>362</v>
      </c>
      <c r="AM108" s="8">
        <v>409</v>
      </c>
      <c r="AN108" s="8">
        <v>422</v>
      </c>
      <c r="AO108" s="8">
        <v>352</v>
      </c>
      <c r="AP108" s="8">
        <v>293</v>
      </c>
      <c r="AQ108" s="8">
        <v>449</v>
      </c>
      <c r="AR108" s="8">
        <v>351</v>
      </c>
      <c r="AS108" s="8">
        <v>328</v>
      </c>
      <c r="AT108" s="8">
        <v>171</v>
      </c>
      <c r="AU108" s="8">
        <v>421</v>
      </c>
      <c r="AV108" s="8">
        <v>503</v>
      </c>
      <c r="AW108" s="8">
        <v>442</v>
      </c>
      <c r="AX108" s="8">
        <v>354</v>
      </c>
      <c r="AY108" s="10">
        <v>564</v>
      </c>
      <c r="AZ108" s="8">
        <v>495</v>
      </c>
      <c r="BA108" s="8">
        <v>438</v>
      </c>
      <c r="BB108" s="9">
        <v>478</v>
      </c>
      <c r="BC108" s="34">
        <v>471</v>
      </c>
      <c r="BD108" s="32">
        <v>369</v>
      </c>
      <c r="BE108" s="32">
        <v>344</v>
      </c>
      <c r="BF108" s="33">
        <v>412</v>
      </c>
      <c r="BG108" s="34">
        <v>425</v>
      </c>
      <c r="BH108" s="32">
        <v>326</v>
      </c>
      <c r="BI108" s="32">
        <v>359</v>
      </c>
      <c r="BJ108" s="32">
        <v>361</v>
      </c>
      <c r="BK108" s="213">
        <v>336</v>
      </c>
      <c r="BL108" s="214">
        <v>138</v>
      </c>
      <c r="BM108" s="214">
        <v>78</v>
      </c>
      <c r="BN108" s="259">
        <v>226</v>
      </c>
      <c r="BO108" s="213">
        <v>173</v>
      </c>
      <c r="BP108" s="249">
        <v>111</v>
      </c>
      <c r="BQ108" s="249">
        <v>94</v>
      </c>
      <c r="BR108" s="249">
        <v>292</v>
      </c>
      <c r="BS108" s="262">
        <v>456</v>
      </c>
      <c r="BT108" s="249">
        <v>273</v>
      </c>
      <c r="BU108" s="249">
        <v>72</v>
      </c>
      <c r="BV108" s="291">
        <v>66</v>
      </c>
      <c r="BW108" s="249">
        <v>7</v>
      </c>
      <c r="BX108" s="249">
        <v>93</v>
      </c>
      <c r="BY108" s="249">
        <v>165</v>
      </c>
      <c r="BZ108" s="249">
        <v>234</v>
      </c>
      <c r="CA108" s="262">
        <v>198</v>
      </c>
      <c r="CB108" s="249">
        <v>145</v>
      </c>
      <c r="CC108" s="249">
        <v>103</v>
      </c>
      <c r="CD108" s="291">
        <v>204</v>
      </c>
      <c r="CE108" s="262">
        <v>0</v>
      </c>
      <c r="CF108" s="249">
        <v>0</v>
      </c>
      <c r="CG108" s="249">
        <v>18</v>
      </c>
      <c r="CH108" s="291">
        <v>106</v>
      </c>
      <c r="CI108" s="262">
        <v>216</v>
      </c>
      <c r="CJ108" s="249">
        <v>115</v>
      </c>
      <c r="CK108" s="249">
        <v>33</v>
      </c>
      <c r="CL108" s="291">
        <v>3</v>
      </c>
      <c r="CM108" s="262">
        <v>30</v>
      </c>
      <c r="CN108" s="249">
        <v>27</v>
      </c>
      <c r="CO108" s="249">
        <v>16</v>
      </c>
      <c r="CP108" s="291">
        <v>4</v>
      </c>
      <c r="CQ108" s="683">
        <v>0</v>
      </c>
      <c r="CR108" s="249">
        <v>0.69899999999999995</v>
      </c>
      <c r="CS108" s="684">
        <v>0</v>
      </c>
      <c r="CT108" s="685">
        <v>0</v>
      </c>
      <c r="CU108" s="683">
        <v>2</v>
      </c>
      <c r="CV108" s="684">
        <v>0</v>
      </c>
      <c r="CW108" s="684"/>
      <c r="CX108" s="685"/>
    </row>
    <row r="109" spans="1:119" s="1" customFormat="1" x14ac:dyDescent="0.25">
      <c r="A109" s="306"/>
      <c r="B109" s="290" t="s">
        <v>54</v>
      </c>
      <c r="C109" s="66">
        <f>+C108+C107</f>
        <v>990</v>
      </c>
      <c r="D109" s="66">
        <f t="shared" ref="D109:BN109" si="223">+D108+D107</f>
        <v>1135</v>
      </c>
      <c r="E109" s="66">
        <f t="shared" si="223"/>
        <v>1164</v>
      </c>
      <c r="F109" s="66">
        <f t="shared" si="223"/>
        <v>1172</v>
      </c>
      <c r="G109" s="66">
        <f t="shared" si="223"/>
        <v>1202</v>
      </c>
      <c r="H109" s="66">
        <f t="shared" si="223"/>
        <v>1184</v>
      </c>
      <c r="I109" s="66">
        <f t="shared" si="223"/>
        <v>1383</v>
      </c>
      <c r="J109" s="66">
        <f t="shared" si="223"/>
        <v>1390</v>
      </c>
      <c r="K109" s="66">
        <f t="shared" si="223"/>
        <v>1453</v>
      </c>
      <c r="L109" s="66">
        <f t="shared" si="223"/>
        <v>1222</v>
      </c>
      <c r="M109" s="66">
        <f t="shared" si="223"/>
        <v>1176</v>
      </c>
      <c r="N109" s="66">
        <f t="shared" si="223"/>
        <v>1091</v>
      </c>
      <c r="O109" s="66">
        <f t="shared" si="223"/>
        <v>1004</v>
      </c>
      <c r="P109" s="66">
        <f t="shared" si="223"/>
        <v>910</v>
      </c>
      <c r="Q109" s="66">
        <f t="shared" si="223"/>
        <v>831</v>
      </c>
      <c r="R109" s="66">
        <f t="shared" si="223"/>
        <v>931</v>
      </c>
      <c r="S109" s="66">
        <f t="shared" si="223"/>
        <v>905</v>
      </c>
      <c r="T109" s="66">
        <f t="shared" si="223"/>
        <v>884</v>
      </c>
      <c r="U109" s="66">
        <f t="shared" si="223"/>
        <v>984</v>
      </c>
      <c r="V109" s="66">
        <f t="shared" si="223"/>
        <v>935</v>
      </c>
      <c r="W109" s="66">
        <f t="shared" si="223"/>
        <v>807</v>
      </c>
      <c r="X109" s="66">
        <f t="shared" si="223"/>
        <v>864</v>
      </c>
      <c r="Y109" s="66">
        <f t="shared" si="223"/>
        <v>913</v>
      </c>
      <c r="Z109" s="66">
        <f t="shared" si="223"/>
        <v>868</v>
      </c>
      <c r="AA109" s="63">
        <f t="shared" si="223"/>
        <v>656</v>
      </c>
      <c r="AB109" s="63">
        <f t="shared" si="223"/>
        <v>778</v>
      </c>
      <c r="AC109" s="63">
        <f t="shared" si="223"/>
        <v>790</v>
      </c>
      <c r="AD109" s="63">
        <f t="shared" si="223"/>
        <v>798</v>
      </c>
      <c r="AE109" s="63">
        <f t="shared" si="223"/>
        <v>629</v>
      </c>
      <c r="AF109" s="63">
        <f t="shared" si="223"/>
        <v>774</v>
      </c>
      <c r="AG109" s="63">
        <f t="shared" si="223"/>
        <v>791</v>
      </c>
      <c r="AH109" s="63">
        <f t="shared" si="223"/>
        <v>817</v>
      </c>
      <c r="AI109" s="63">
        <f t="shared" si="223"/>
        <v>726</v>
      </c>
      <c r="AJ109" s="63">
        <f t="shared" si="223"/>
        <v>717</v>
      </c>
      <c r="AK109" s="63">
        <f t="shared" si="223"/>
        <v>937</v>
      </c>
      <c r="AL109" s="63">
        <f t="shared" si="223"/>
        <v>1028</v>
      </c>
      <c r="AM109" s="63">
        <f t="shared" si="223"/>
        <v>908</v>
      </c>
      <c r="AN109" s="63">
        <f t="shared" si="223"/>
        <v>1070</v>
      </c>
      <c r="AO109" s="63">
        <f t="shared" si="223"/>
        <v>899</v>
      </c>
      <c r="AP109" s="63">
        <f t="shared" si="223"/>
        <v>940</v>
      </c>
      <c r="AQ109" s="63">
        <f t="shared" si="223"/>
        <v>988</v>
      </c>
      <c r="AR109" s="63">
        <f t="shared" si="223"/>
        <v>894</v>
      </c>
      <c r="AS109" s="63">
        <f t="shared" si="223"/>
        <v>879</v>
      </c>
      <c r="AT109" s="63">
        <f t="shared" si="223"/>
        <v>607</v>
      </c>
      <c r="AU109" s="63">
        <f t="shared" si="223"/>
        <v>852</v>
      </c>
      <c r="AV109" s="63">
        <f t="shared" si="223"/>
        <v>1057</v>
      </c>
      <c r="AW109" s="63">
        <f t="shared" si="223"/>
        <v>1083</v>
      </c>
      <c r="AX109" s="63">
        <f t="shared" si="223"/>
        <v>1099</v>
      </c>
      <c r="AY109" s="62">
        <f t="shared" si="223"/>
        <v>1114</v>
      </c>
      <c r="AZ109" s="63">
        <f t="shared" si="223"/>
        <v>1141</v>
      </c>
      <c r="BA109" s="63">
        <f t="shared" si="223"/>
        <v>1095</v>
      </c>
      <c r="BB109" s="64">
        <f t="shared" si="223"/>
        <v>1196</v>
      </c>
      <c r="BC109" s="65">
        <f t="shared" si="223"/>
        <v>1053</v>
      </c>
      <c r="BD109" s="66">
        <f t="shared" si="223"/>
        <v>1069</v>
      </c>
      <c r="BE109" s="66">
        <f t="shared" si="223"/>
        <v>1124</v>
      </c>
      <c r="BF109" s="67">
        <f t="shared" si="223"/>
        <v>1073</v>
      </c>
      <c r="BG109" s="65">
        <f t="shared" si="223"/>
        <v>1081</v>
      </c>
      <c r="BH109" s="66">
        <f t="shared" si="223"/>
        <v>1088</v>
      </c>
      <c r="BI109" s="66">
        <f t="shared" si="223"/>
        <v>1102</v>
      </c>
      <c r="BJ109" s="66">
        <f t="shared" si="223"/>
        <v>1062</v>
      </c>
      <c r="BK109" s="109">
        <f t="shared" si="223"/>
        <v>957</v>
      </c>
      <c r="BL109" s="110">
        <f t="shared" si="223"/>
        <v>882</v>
      </c>
      <c r="BM109" s="110">
        <f t="shared" si="223"/>
        <v>803</v>
      </c>
      <c r="BN109" s="111">
        <f t="shared" si="223"/>
        <v>873</v>
      </c>
      <c r="BO109" s="109">
        <f t="shared" ref="BO109:BV109" si="224">+BO108+BO107</f>
        <v>720</v>
      </c>
      <c r="BP109" s="110">
        <f t="shared" si="224"/>
        <v>796</v>
      </c>
      <c r="BQ109" s="110">
        <f t="shared" si="224"/>
        <v>723</v>
      </c>
      <c r="BR109" s="110">
        <f t="shared" si="224"/>
        <v>713</v>
      </c>
      <c r="BS109" s="109">
        <f t="shared" si="224"/>
        <v>630</v>
      </c>
      <c r="BT109" s="110">
        <f t="shared" si="224"/>
        <v>635</v>
      </c>
      <c r="BU109" s="110">
        <f t="shared" si="224"/>
        <v>630</v>
      </c>
      <c r="BV109" s="111">
        <f t="shared" si="224"/>
        <v>594</v>
      </c>
      <c r="BW109" s="110">
        <f t="shared" ref="BW109:BX109" si="225">+BW108+BW107</f>
        <v>459</v>
      </c>
      <c r="BX109" s="110">
        <f t="shared" si="225"/>
        <v>282</v>
      </c>
      <c r="BY109" s="110">
        <f t="shared" ref="BY109:BZ109" si="226">+BY108+BY107</f>
        <v>519</v>
      </c>
      <c r="BZ109" s="110">
        <f t="shared" si="226"/>
        <v>648</v>
      </c>
      <c r="CA109" s="109">
        <f t="shared" ref="CA109:CB109" si="227">+CA108+CA107</f>
        <v>637</v>
      </c>
      <c r="CB109" s="110">
        <f t="shared" si="227"/>
        <v>637</v>
      </c>
      <c r="CC109" s="110">
        <f t="shared" ref="CC109:CF109" si="228">+CC108+CC107</f>
        <v>652</v>
      </c>
      <c r="CD109" s="111">
        <f t="shared" si="228"/>
        <v>550</v>
      </c>
      <c r="CE109" s="109">
        <f t="shared" si="228"/>
        <v>0</v>
      </c>
      <c r="CF109" s="110">
        <f t="shared" si="228"/>
        <v>0</v>
      </c>
      <c r="CG109" s="110">
        <f t="shared" ref="CG109:CI109" si="229">+CG108+CG107</f>
        <v>508</v>
      </c>
      <c r="CH109" s="111">
        <f t="shared" si="229"/>
        <v>545</v>
      </c>
      <c r="CI109" s="109">
        <f t="shared" si="229"/>
        <v>567</v>
      </c>
      <c r="CJ109" s="110">
        <f>+CJ108+CJ107-1</f>
        <v>488</v>
      </c>
      <c r="CK109" s="110">
        <f t="shared" ref="CK109:CM109" si="230">+CK108+CK107</f>
        <v>383</v>
      </c>
      <c r="CL109" s="111">
        <f t="shared" si="230"/>
        <v>347</v>
      </c>
      <c r="CM109" s="109">
        <f t="shared" si="230"/>
        <v>352</v>
      </c>
      <c r="CN109" s="110">
        <f>+CN108+CN107</f>
        <v>306</v>
      </c>
      <c r="CO109" s="110">
        <f>+CO108+CO107-1</f>
        <v>347</v>
      </c>
      <c r="CP109" s="111">
        <f>+CP108+CP107-1</f>
        <v>366</v>
      </c>
      <c r="CQ109" s="109">
        <f t="shared" ref="CQ109:CT109" si="231">+CQ108+CQ107</f>
        <v>301</v>
      </c>
      <c r="CR109" s="110">
        <f t="shared" si="231"/>
        <v>303.45499999999998</v>
      </c>
      <c r="CS109" s="110">
        <f t="shared" si="231"/>
        <v>332</v>
      </c>
      <c r="CT109" s="111">
        <f t="shared" si="231"/>
        <v>372.66800000000001</v>
      </c>
      <c r="CU109" s="109">
        <f t="shared" ref="CU109:CX109" si="232">+CU108+CU107</f>
        <v>337</v>
      </c>
      <c r="CV109" s="110">
        <f t="shared" si="232"/>
        <v>300</v>
      </c>
      <c r="CW109" s="110">
        <f t="shared" si="232"/>
        <v>0</v>
      </c>
      <c r="CX109" s="111">
        <f t="shared" si="232"/>
        <v>0</v>
      </c>
      <c r="CY109" s="347"/>
      <c r="CZ109" s="347"/>
      <c r="DA109" s="347"/>
      <c r="DB109" s="347"/>
      <c r="DC109" s="347"/>
      <c r="DD109" s="347"/>
      <c r="DE109" s="347"/>
      <c r="DF109" s="347"/>
      <c r="DG109" s="347"/>
      <c r="DH109" s="347"/>
      <c r="DI109" s="347"/>
      <c r="DJ109" s="347"/>
      <c r="DK109" s="347"/>
      <c r="DL109" s="347"/>
      <c r="DM109" s="347"/>
      <c r="DN109" s="347"/>
      <c r="DO109" s="347"/>
    </row>
    <row r="110" spans="1:119" x14ac:dyDescent="0.25">
      <c r="A110" s="225"/>
      <c r="B110" s="292" t="s">
        <v>55</v>
      </c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10"/>
      <c r="BB110" s="23"/>
      <c r="BC110" s="49"/>
      <c r="BD110" s="50"/>
      <c r="BE110" s="50"/>
      <c r="BF110" s="51"/>
      <c r="BG110" s="49"/>
      <c r="BH110" s="50"/>
      <c r="BK110" s="225"/>
      <c r="BL110" s="208"/>
      <c r="BM110" s="208"/>
      <c r="BN110" s="227"/>
      <c r="BO110" s="225"/>
      <c r="BP110" s="208"/>
      <c r="BQ110" s="208"/>
      <c r="BR110" s="208"/>
      <c r="BS110" s="225"/>
      <c r="BT110" s="208"/>
      <c r="BU110" s="208"/>
      <c r="BV110" s="227"/>
      <c r="BW110" s="208"/>
      <c r="BX110" s="208"/>
      <c r="BY110" s="208"/>
      <c r="BZ110" s="208"/>
      <c r="CA110" s="225"/>
      <c r="CB110" s="208"/>
      <c r="CC110" s="208"/>
      <c r="CD110" s="227"/>
      <c r="CE110" s="225"/>
      <c r="CF110" s="208"/>
      <c r="CG110" s="208"/>
      <c r="CH110" s="227"/>
      <c r="CI110" s="225"/>
      <c r="CJ110" s="208"/>
      <c r="CK110" s="208"/>
      <c r="CL110" s="227"/>
      <c r="CM110" s="225"/>
      <c r="CN110" s="208"/>
      <c r="CO110" s="208"/>
      <c r="CP110" s="227"/>
      <c r="CQ110" s="225"/>
      <c r="CR110" s="208"/>
      <c r="CS110" s="208"/>
      <c r="CT110" s="227"/>
      <c r="CU110" s="225"/>
      <c r="CV110" s="208"/>
      <c r="CW110" s="208"/>
      <c r="CX110" s="227"/>
    </row>
    <row r="111" spans="1:119" x14ac:dyDescent="0.25">
      <c r="A111" s="225"/>
      <c r="B111" s="300" t="s">
        <v>52</v>
      </c>
      <c r="C111" s="36">
        <f t="shared" ref="C111:BH113" si="233">+C115/C107</f>
        <v>6.2825822168087697</v>
      </c>
      <c r="D111" s="36">
        <f t="shared" si="233"/>
        <v>5.3289070480081717</v>
      </c>
      <c r="E111" s="36">
        <f t="shared" si="233"/>
        <v>4.7073891625615767</v>
      </c>
      <c r="F111" s="36">
        <f t="shared" si="233"/>
        <v>4.8979187314172448</v>
      </c>
      <c r="G111" s="36">
        <f t="shared" si="233"/>
        <v>4.9328140214216161</v>
      </c>
      <c r="H111" s="36">
        <f t="shared" si="233"/>
        <v>5.1127744510978044</v>
      </c>
      <c r="I111" s="36">
        <f t="shared" si="233"/>
        <v>4.4440227703984823</v>
      </c>
      <c r="J111" s="36">
        <f t="shared" si="233"/>
        <v>4.7130000000000001</v>
      </c>
      <c r="K111" s="36">
        <f t="shared" si="233"/>
        <v>4.5224327018943171</v>
      </c>
      <c r="L111" s="36">
        <f t="shared" si="233"/>
        <v>4.6673553719008263</v>
      </c>
      <c r="M111" s="36">
        <f t="shared" si="233"/>
        <v>4.425655976676385</v>
      </c>
      <c r="N111" s="36">
        <f t="shared" si="233"/>
        <v>4.7303149606299213</v>
      </c>
      <c r="O111" s="36">
        <f t="shared" si="233"/>
        <v>5.2441471571906355</v>
      </c>
      <c r="P111" s="36">
        <f t="shared" si="233"/>
        <v>5.5769230769230766</v>
      </c>
      <c r="Q111" s="36">
        <f t="shared" si="233"/>
        <v>5.1889290012033698</v>
      </c>
      <c r="R111" s="36">
        <f t="shared" si="233"/>
        <v>5.1750805585392055</v>
      </c>
      <c r="S111" s="36">
        <f t="shared" si="233"/>
        <v>5.3226519337016578</v>
      </c>
      <c r="T111" s="36">
        <f t="shared" si="233"/>
        <v>5.1968325791855206</v>
      </c>
      <c r="U111" s="36">
        <f t="shared" si="233"/>
        <v>4.7113821138211378</v>
      </c>
      <c r="V111" s="36">
        <f t="shared" si="233"/>
        <v>4.9732620320855618</v>
      </c>
      <c r="W111" s="36">
        <f t="shared" si="233"/>
        <v>4.5947955390334574</v>
      </c>
      <c r="X111" s="36">
        <f t="shared" si="233"/>
        <v>4.5243055555555554</v>
      </c>
      <c r="Y111" s="36">
        <f t="shared" si="233"/>
        <v>4.0602409638554215</v>
      </c>
      <c r="Z111" s="36">
        <f t="shared" si="233"/>
        <v>4.2603686635944698</v>
      </c>
      <c r="AA111" s="12">
        <f t="shared" si="233"/>
        <v>3.875</v>
      </c>
      <c r="AB111" s="12">
        <f t="shared" si="233"/>
        <v>4.7275064267352187</v>
      </c>
      <c r="AC111" s="12">
        <f t="shared" si="233"/>
        <v>3.9949367088607595</v>
      </c>
      <c r="AD111" s="12">
        <f t="shared" si="233"/>
        <v>4.1604010025062657</v>
      </c>
      <c r="AE111" s="12">
        <f t="shared" si="233"/>
        <v>3.9570747217806042</v>
      </c>
      <c r="AF111" s="12">
        <f t="shared" si="233"/>
        <v>4.1330749354005167</v>
      </c>
      <c r="AG111" s="12">
        <f t="shared" si="233"/>
        <v>4.4375</v>
      </c>
      <c r="AH111" s="12">
        <f t="shared" si="233"/>
        <v>4.1832061068702293</v>
      </c>
      <c r="AI111" s="12">
        <f t="shared" si="233"/>
        <v>4.0360655737704922</v>
      </c>
      <c r="AJ111" s="12">
        <f t="shared" si="233"/>
        <v>4.0717360114777614</v>
      </c>
      <c r="AK111" s="12">
        <f t="shared" si="233"/>
        <v>4.4839650145772598</v>
      </c>
      <c r="AL111" s="12">
        <f t="shared" si="233"/>
        <v>4.3918918918918921</v>
      </c>
      <c r="AM111" s="12">
        <f t="shared" si="233"/>
        <v>4.350701402805611</v>
      </c>
      <c r="AN111" s="12">
        <f t="shared" si="233"/>
        <v>4.4783950617283947</v>
      </c>
      <c r="AO111" s="12">
        <f t="shared" si="233"/>
        <v>4.6142595978062158</v>
      </c>
      <c r="AP111" s="12">
        <f t="shared" si="233"/>
        <v>4.1978361669242661</v>
      </c>
      <c r="AQ111" s="12">
        <f t="shared" si="233"/>
        <v>4.3599257884972173</v>
      </c>
      <c r="AR111" s="12">
        <f t="shared" si="233"/>
        <v>4.3996316758747698</v>
      </c>
      <c r="AS111" s="12">
        <f>+AS115/AS107</f>
        <v>4.2341197822141563</v>
      </c>
      <c r="AT111" s="12">
        <f t="shared" si="233"/>
        <v>3.6330275229357798</v>
      </c>
      <c r="AU111" s="12">
        <f t="shared" si="233"/>
        <v>4.064965197215777</v>
      </c>
      <c r="AV111" s="12">
        <f t="shared" si="233"/>
        <v>3.9332129963898916</v>
      </c>
      <c r="AW111" s="12">
        <f t="shared" si="233"/>
        <v>3.9828393135725428</v>
      </c>
      <c r="AX111" s="12">
        <f t="shared" si="233"/>
        <v>3.6389261744966444</v>
      </c>
      <c r="AY111" s="11">
        <f t="shared" si="233"/>
        <v>3.9345454545454546</v>
      </c>
      <c r="AZ111" s="12">
        <f t="shared" si="233"/>
        <v>3.6439628482972135</v>
      </c>
      <c r="BA111" s="12">
        <f t="shared" si="233"/>
        <v>3.7351598173515983</v>
      </c>
      <c r="BB111" s="13">
        <f t="shared" si="233"/>
        <v>3.6643454038997216</v>
      </c>
      <c r="BC111" s="35">
        <f t="shared" si="233"/>
        <v>2.8075601374570445</v>
      </c>
      <c r="BD111" s="36">
        <f t="shared" si="233"/>
        <v>3.6557142857142857</v>
      </c>
      <c r="BE111" s="36">
        <f t="shared" si="233"/>
        <v>3.4987179487179487</v>
      </c>
      <c r="BF111" s="37">
        <f t="shared" si="233"/>
        <v>3.9863842662632374</v>
      </c>
      <c r="BG111" s="35">
        <f t="shared" si="233"/>
        <v>3.2759146341463414</v>
      </c>
      <c r="BH111" s="36">
        <f t="shared" si="233"/>
        <v>3.2506561679790025</v>
      </c>
      <c r="BI111" s="36">
        <f t="shared" ref="BI111:BL113" si="234">+BI115/BI107</f>
        <v>3.2812920592193811</v>
      </c>
      <c r="BJ111" s="36">
        <f t="shared" si="234"/>
        <v>3.6191155492154063</v>
      </c>
      <c r="BK111" s="301">
        <f t="shared" si="234"/>
        <v>3.5040257648953301</v>
      </c>
      <c r="BL111" s="297">
        <f t="shared" si="234"/>
        <v>2.931451612903226</v>
      </c>
      <c r="BM111" s="297">
        <f t="shared" ref="BM111:BR111" si="235">+BM115/BM107</f>
        <v>3.277241379310345</v>
      </c>
      <c r="BN111" s="302">
        <f t="shared" si="235"/>
        <v>3.2859350850077278</v>
      </c>
      <c r="BO111" s="301">
        <f t="shared" si="235"/>
        <v>3.3747714808043874</v>
      </c>
      <c r="BP111" s="297">
        <f t="shared" si="235"/>
        <v>3.5459854014598542</v>
      </c>
      <c r="BQ111" s="297">
        <f t="shared" si="235"/>
        <v>3.5325914149443562</v>
      </c>
      <c r="BR111" s="297">
        <f t="shared" si="235"/>
        <v>4.261282660332542</v>
      </c>
      <c r="BS111" s="301">
        <f t="shared" ref="BS111:BU113" si="236">+BS115/BS107</f>
        <v>3.2586206896551726</v>
      </c>
      <c r="BT111" s="297">
        <f t="shared" si="236"/>
        <v>3.0994475138121547</v>
      </c>
      <c r="BU111" s="297">
        <f t="shared" si="236"/>
        <v>3.6899641577060933</v>
      </c>
      <c r="BV111" s="302">
        <f t="shared" ref="BV111:BW111" si="237">+BV115/BV107</f>
        <v>3.7821969696969697</v>
      </c>
      <c r="BW111" s="297">
        <f t="shared" si="237"/>
        <v>3.2898230088495577</v>
      </c>
      <c r="BX111" s="297">
        <f t="shared" ref="BX111:BY111" si="238">+BX115/BX107</f>
        <v>4.3386243386243386</v>
      </c>
      <c r="BY111" s="297">
        <f t="shared" si="238"/>
        <v>3.7259887005649719</v>
      </c>
      <c r="BZ111" s="297">
        <f t="shared" ref="BZ111:CA111" si="239">+BZ115/BZ107</f>
        <v>3.57487922705314</v>
      </c>
      <c r="CA111" s="301">
        <f t="shared" si="239"/>
        <v>3</v>
      </c>
      <c r="CB111" s="297">
        <v>3.26</v>
      </c>
      <c r="CC111" s="297">
        <v>3.24</v>
      </c>
      <c r="CD111" s="302">
        <v>4.2</v>
      </c>
      <c r="CE111" s="301">
        <v>0</v>
      </c>
      <c r="CF111" s="297">
        <v>0</v>
      </c>
      <c r="CG111" s="297">
        <v>2.69</v>
      </c>
      <c r="CH111" s="302">
        <f t="shared" ref="CH111:CJ111" si="240">+CH115/CH107</f>
        <v>3.3758542141230068</v>
      </c>
      <c r="CI111" s="301">
        <f>+CI115/CI107-0.01</f>
        <v>2.7164957264957268</v>
      </c>
      <c r="CJ111" s="297">
        <f t="shared" si="240"/>
        <v>2.8609625668449197</v>
      </c>
      <c r="CK111" s="297">
        <v>2.66</v>
      </c>
      <c r="CL111" s="302">
        <v>3.47</v>
      </c>
      <c r="CM111" s="301">
        <v>2.79</v>
      </c>
      <c r="CN111" s="297">
        <v>2.95</v>
      </c>
      <c r="CO111" s="297">
        <v>2.68</v>
      </c>
      <c r="CP111" s="302">
        <v>3.15</v>
      </c>
      <c r="CQ111" s="301">
        <v>2.94</v>
      </c>
      <c r="CR111" s="297">
        <v>2.5499999999999998</v>
      </c>
      <c r="CS111" s="297">
        <v>2.63</v>
      </c>
      <c r="CT111" s="302">
        <v>2.83</v>
      </c>
      <c r="CU111" s="301">
        <v>2.4900000000000002</v>
      </c>
      <c r="CV111" s="297">
        <v>2.42</v>
      </c>
      <c r="CW111" s="297"/>
      <c r="CX111" s="302"/>
    </row>
    <row r="112" spans="1:119" x14ac:dyDescent="0.25">
      <c r="A112" s="225"/>
      <c r="B112" s="300" t="s">
        <v>53</v>
      </c>
      <c r="C112" s="36">
        <f t="shared" si="233"/>
        <v>1.0118343195266273</v>
      </c>
      <c r="D112" s="36">
        <f t="shared" si="233"/>
        <v>0.90384615384615385</v>
      </c>
      <c r="E112" s="36">
        <f t="shared" si="233"/>
        <v>0.65100671140939592</v>
      </c>
      <c r="F112" s="36">
        <f t="shared" si="233"/>
        <v>0.76073619631901845</v>
      </c>
      <c r="G112" s="36">
        <f t="shared" si="233"/>
        <v>0.9028571428571428</v>
      </c>
      <c r="H112" s="36">
        <f t="shared" si="233"/>
        <v>1.098901098901099</v>
      </c>
      <c r="I112" s="36">
        <f t="shared" si="233"/>
        <v>0.81155015197568392</v>
      </c>
      <c r="J112" s="36">
        <f t="shared" si="233"/>
        <v>0.7384615384615385</v>
      </c>
      <c r="K112" s="36">
        <f t="shared" si="233"/>
        <v>0.61555555555555552</v>
      </c>
      <c r="L112" s="36">
        <f t="shared" si="233"/>
        <v>0.60629921259842523</v>
      </c>
      <c r="M112" s="36">
        <f t="shared" si="233"/>
        <v>0.77551020408163263</v>
      </c>
      <c r="N112" s="36">
        <f t="shared" si="233"/>
        <v>1.2666666666666666</v>
      </c>
      <c r="O112" s="36">
        <f t="shared" si="233"/>
        <v>0.65420560747663548</v>
      </c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12"/>
      <c r="AB112" s="12"/>
      <c r="AC112" s="12"/>
      <c r="AD112" s="12"/>
      <c r="AE112" s="12"/>
      <c r="AF112" s="12"/>
      <c r="AG112" s="12">
        <f t="shared" si="233"/>
        <v>1.2608695652173914</v>
      </c>
      <c r="AH112" s="12">
        <f t="shared" si="233"/>
        <v>0.967741935483871</v>
      </c>
      <c r="AI112" s="12">
        <f t="shared" si="233"/>
        <v>0.99137931034482762</v>
      </c>
      <c r="AJ112" s="12">
        <f t="shared" si="233"/>
        <v>0.9</v>
      </c>
      <c r="AK112" s="12">
        <f t="shared" si="233"/>
        <v>0.50199203187250996</v>
      </c>
      <c r="AL112" s="12">
        <f t="shared" si="233"/>
        <v>0.42817679558011051</v>
      </c>
      <c r="AM112" s="12">
        <f t="shared" si="233"/>
        <v>0.34963325183374083</v>
      </c>
      <c r="AN112" s="12">
        <f t="shared" si="233"/>
        <v>0.34597156398104267</v>
      </c>
      <c r="AO112" s="12">
        <f t="shared" si="233"/>
        <v>0.31818181818181818</v>
      </c>
      <c r="AP112" s="12">
        <f t="shared" si="233"/>
        <v>0.24914675767918087</v>
      </c>
      <c r="AQ112" s="12">
        <f t="shared" si="233"/>
        <v>0.24944320712694878</v>
      </c>
      <c r="AR112" s="12">
        <f t="shared" si="233"/>
        <v>0.25071225071225073</v>
      </c>
      <c r="AS112" s="12">
        <f>+AS116/AS108</f>
        <v>0.25</v>
      </c>
      <c r="AT112" s="12">
        <f t="shared" si="233"/>
        <v>0.25146198830409355</v>
      </c>
      <c r="AU112" s="12">
        <f t="shared" si="233"/>
        <v>0.24940617577197149</v>
      </c>
      <c r="AV112" s="12">
        <f t="shared" si="233"/>
        <v>0.25248508946322068</v>
      </c>
      <c r="AW112" s="12">
        <f t="shared" si="233"/>
        <v>0.3755656108597285</v>
      </c>
      <c r="AX112" s="12">
        <f t="shared" si="233"/>
        <v>0.36440677966101692</v>
      </c>
      <c r="AY112" s="11">
        <f t="shared" si="233"/>
        <v>0.36702127659574468</v>
      </c>
      <c r="AZ112" s="12">
        <f t="shared" si="233"/>
        <v>0.37575757575757573</v>
      </c>
      <c r="BA112" s="12">
        <f t="shared" si="233"/>
        <v>0.38812785388127852</v>
      </c>
      <c r="BB112" s="13">
        <f t="shared" si="233"/>
        <v>0.39330543933054396</v>
      </c>
      <c r="BC112" s="35">
        <f t="shared" si="233"/>
        <v>0.35244161358811038</v>
      </c>
      <c r="BD112" s="36">
        <f t="shared" si="233"/>
        <v>0.38482384823848237</v>
      </c>
      <c r="BE112" s="36">
        <f t="shared" si="233"/>
        <v>0.34011627906976744</v>
      </c>
      <c r="BF112" s="37">
        <f t="shared" si="233"/>
        <v>0.29854368932038833</v>
      </c>
      <c r="BG112" s="35">
        <f t="shared" si="233"/>
        <v>0.28235294117647058</v>
      </c>
      <c r="BH112" s="36">
        <f t="shared" si="233"/>
        <v>0.30061349693251532</v>
      </c>
      <c r="BI112" s="36">
        <f t="shared" si="234"/>
        <v>0.3203342618384401</v>
      </c>
      <c r="BJ112" s="36">
        <f t="shared" si="234"/>
        <v>0.296398891966759</v>
      </c>
      <c r="BK112" s="301">
        <f t="shared" si="234"/>
        <v>0.32440476190476192</v>
      </c>
      <c r="BL112" s="297">
        <f t="shared" si="234"/>
        <v>0.25362318840579712</v>
      </c>
      <c r="BM112" s="297">
        <f t="shared" ref="BM112:BR113" si="241">+BM116/BM108</f>
        <v>0.26923076923076922</v>
      </c>
      <c r="BN112" s="302">
        <f t="shared" si="241"/>
        <v>0.29646017699115046</v>
      </c>
      <c r="BO112" s="301">
        <f t="shared" si="241"/>
        <v>0.36994219653179189</v>
      </c>
      <c r="BP112" s="297">
        <f t="shared" si="241"/>
        <v>0.36936936936936937</v>
      </c>
      <c r="BQ112" s="297">
        <f t="shared" si="241"/>
        <v>0.34042553191489361</v>
      </c>
      <c r="BR112" s="297">
        <f t="shared" si="241"/>
        <v>0.36986301369863012</v>
      </c>
      <c r="BS112" s="301">
        <f t="shared" si="236"/>
        <v>0.49780701754385964</v>
      </c>
      <c r="BT112" s="297">
        <f t="shared" si="236"/>
        <v>0.29304029304029305</v>
      </c>
      <c r="BU112" s="297">
        <f t="shared" si="236"/>
        <v>0.56944444444444442</v>
      </c>
      <c r="BV112" s="302">
        <f t="shared" ref="BV112:BW112" si="242">+BV116/BV108</f>
        <v>0.37878787878787878</v>
      </c>
      <c r="BW112" s="297">
        <f t="shared" si="242"/>
        <v>0.2857142857142857</v>
      </c>
      <c r="BX112" s="297">
        <f t="shared" ref="BX112:BY112" si="243">+BX116/BX108</f>
        <v>0.23655913978494625</v>
      </c>
      <c r="BY112" s="297">
        <f t="shared" si="243"/>
        <v>0.38787878787878788</v>
      </c>
      <c r="BZ112" s="297">
        <f t="shared" ref="BZ112:CA112" si="244">+BZ116/BZ108</f>
        <v>0.36752136752136755</v>
      </c>
      <c r="CA112" s="301">
        <f t="shared" si="244"/>
        <v>0.30808080808080807</v>
      </c>
      <c r="CB112" s="297">
        <v>0.34</v>
      </c>
      <c r="CC112" s="297">
        <v>0.28999999999999998</v>
      </c>
      <c r="CD112" s="302">
        <v>0.45</v>
      </c>
      <c r="CE112" s="301">
        <v>0</v>
      </c>
      <c r="CF112" s="297">
        <v>0</v>
      </c>
      <c r="CG112" s="297">
        <v>0</v>
      </c>
      <c r="CH112" s="302">
        <f t="shared" ref="CH112:CI112" si="245">+CH116/CH108</f>
        <v>0.39622641509433965</v>
      </c>
      <c r="CI112" s="301">
        <f t="shared" si="245"/>
        <v>0.22222222222222221</v>
      </c>
      <c r="CJ112" s="297">
        <f t="shared" ref="CJ112:CK112" si="246">+CJ116/CJ108</f>
        <v>0.20869565217391303</v>
      </c>
      <c r="CK112" s="297">
        <f t="shared" si="246"/>
        <v>0.21212121212121213</v>
      </c>
      <c r="CL112" s="302">
        <v>0.77</v>
      </c>
      <c r="CM112" s="301">
        <v>0.13</v>
      </c>
      <c r="CN112" s="297">
        <v>0.22</v>
      </c>
      <c r="CO112" s="297">
        <v>0.19</v>
      </c>
      <c r="CP112" s="302">
        <v>0.26</v>
      </c>
      <c r="CQ112" s="693">
        <v>0</v>
      </c>
      <c r="CR112" s="681">
        <v>0</v>
      </c>
      <c r="CS112" s="681">
        <v>0</v>
      </c>
      <c r="CT112" s="682">
        <v>0</v>
      </c>
      <c r="CU112" s="693">
        <v>0</v>
      </c>
      <c r="CV112" s="681">
        <v>0</v>
      </c>
      <c r="CW112" s="681"/>
      <c r="CX112" s="682"/>
    </row>
    <row r="113" spans="1:119" s="1" customFormat="1" x14ac:dyDescent="0.25">
      <c r="A113" s="306"/>
      <c r="B113" s="309" t="s">
        <v>56</v>
      </c>
      <c r="C113" s="72">
        <f t="shared" si="233"/>
        <v>5.3828282828282825</v>
      </c>
      <c r="D113" s="72">
        <f t="shared" si="233"/>
        <v>4.7207048458149776</v>
      </c>
      <c r="E113" s="72">
        <f t="shared" si="233"/>
        <v>4.1881443298969074</v>
      </c>
      <c r="F113" s="72">
        <f t="shared" si="233"/>
        <v>4.3225255972696246</v>
      </c>
      <c r="G113" s="72">
        <f t="shared" si="233"/>
        <v>4.3460898502495837</v>
      </c>
      <c r="H113" s="72">
        <f t="shared" si="233"/>
        <v>4.4957770270270272</v>
      </c>
      <c r="I113" s="72">
        <f t="shared" si="233"/>
        <v>3.5798987707881418</v>
      </c>
      <c r="J113" s="72">
        <f t="shared" si="233"/>
        <v>3.597841726618705</v>
      </c>
      <c r="K113" s="72">
        <f t="shared" si="233"/>
        <v>3.312456985547144</v>
      </c>
      <c r="L113" s="72">
        <f t="shared" si="233"/>
        <v>3.8232405891980359</v>
      </c>
      <c r="M113" s="72">
        <f t="shared" si="233"/>
        <v>3.9693877551020407</v>
      </c>
      <c r="N113" s="72">
        <f t="shared" si="233"/>
        <v>4.4922089825847848</v>
      </c>
      <c r="O113" s="72">
        <f t="shared" si="233"/>
        <v>4.7549800796812747</v>
      </c>
      <c r="P113" s="72">
        <f t="shared" si="233"/>
        <v>5.5769230769230766</v>
      </c>
      <c r="Q113" s="72">
        <f t="shared" si="233"/>
        <v>5.1889290012033698</v>
      </c>
      <c r="R113" s="72">
        <f t="shared" si="233"/>
        <v>5.1750805585392055</v>
      </c>
      <c r="S113" s="72">
        <f t="shared" si="233"/>
        <v>5.3226519337016578</v>
      </c>
      <c r="T113" s="72">
        <f t="shared" si="233"/>
        <v>5.1968325791855206</v>
      </c>
      <c r="U113" s="72">
        <f t="shared" si="233"/>
        <v>4.7113821138211378</v>
      </c>
      <c r="V113" s="72">
        <f t="shared" si="233"/>
        <v>4.9732620320855618</v>
      </c>
      <c r="W113" s="72">
        <f t="shared" si="233"/>
        <v>4.5947955390334574</v>
      </c>
      <c r="X113" s="72">
        <f t="shared" si="233"/>
        <v>4.5243055555555554</v>
      </c>
      <c r="Y113" s="72">
        <f t="shared" si="233"/>
        <v>4.0602409638554215</v>
      </c>
      <c r="Z113" s="72">
        <f t="shared" si="233"/>
        <v>4.2603686635944698</v>
      </c>
      <c r="AA113" s="69">
        <f t="shared" si="233"/>
        <v>3.875</v>
      </c>
      <c r="AB113" s="69">
        <f t="shared" si="233"/>
        <v>4.7275064267352187</v>
      </c>
      <c r="AC113" s="69">
        <f t="shared" si="233"/>
        <v>3.9949367088607595</v>
      </c>
      <c r="AD113" s="69">
        <f t="shared" si="233"/>
        <v>4.1604010025062657</v>
      </c>
      <c r="AE113" s="69">
        <f t="shared" si="233"/>
        <v>3.9570747217806042</v>
      </c>
      <c r="AF113" s="69">
        <f t="shared" si="233"/>
        <v>4.1330749354005167</v>
      </c>
      <c r="AG113" s="69">
        <f t="shared" si="233"/>
        <v>4.3451327433628322</v>
      </c>
      <c r="AH113" s="69">
        <f t="shared" si="233"/>
        <v>4.0611995104039167</v>
      </c>
      <c r="AI113" s="69">
        <f t="shared" si="233"/>
        <v>3.549586776859504</v>
      </c>
      <c r="AJ113" s="69">
        <f t="shared" si="233"/>
        <v>3.98326359832636</v>
      </c>
      <c r="AK113" s="69">
        <f t="shared" si="233"/>
        <v>3.4172892209178229</v>
      </c>
      <c r="AL113" s="69">
        <f t="shared" si="233"/>
        <v>2.9961089494163424</v>
      </c>
      <c r="AM113" s="69">
        <f t="shared" si="233"/>
        <v>2.5484581497797358</v>
      </c>
      <c r="AN113" s="69">
        <f t="shared" si="233"/>
        <v>2.8485981308411215</v>
      </c>
      <c r="AO113" s="69">
        <f t="shared" si="233"/>
        <v>2.9321468298109008</v>
      </c>
      <c r="AP113" s="69">
        <f t="shared" si="233"/>
        <v>2.9670212765957449</v>
      </c>
      <c r="AQ113" s="69">
        <f t="shared" si="233"/>
        <v>2.4919028340080973</v>
      </c>
      <c r="AR113" s="69">
        <f t="shared" si="233"/>
        <v>2.7706935123042506</v>
      </c>
      <c r="AS113" s="69">
        <f>+AS117/AS109</f>
        <v>2.7474402730375425</v>
      </c>
      <c r="AT113" s="69">
        <f t="shared" si="233"/>
        <v>2.6803953871499178</v>
      </c>
      <c r="AU113" s="69">
        <f t="shared" si="233"/>
        <v>2.1795774647887325</v>
      </c>
      <c r="AV113" s="69">
        <f t="shared" si="233"/>
        <v>2.1816461684011355</v>
      </c>
      <c r="AW113" s="69">
        <f t="shared" si="233"/>
        <v>2.5106186518928899</v>
      </c>
      <c r="AX113" s="69">
        <f t="shared" si="233"/>
        <v>2.5841674249317563</v>
      </c>
      <c r="AY113" s="68">
        <f t="shared" si="233"/>
        <v>2.1283662477558347</v>
      </c>
      <c r="AZ113" s="69">
        <f t="shared" si="233"/>
        <v>2.2261174408413673</v>
      </c>
      <c r="BA113" s="69">
        <f t="shared" si="233"/>
        <v>2.3963470319634701</v>
      </c>
      <c r="BB113" s="70">
        <f t="shared" si="233"/>
        <v>2.3570234113712374</v>
      </c>
      <c r="BC113" s="71">
        <f t="shared" si="233"/>
        <v>1.7094017094017093</v>
      </c>
      <c r="BD113" s="72">
        <f t="shared" si="233"/>
        <v>2.5266604303086999</v>
      </c>
      <c r="BE113" s="72">
        <f t="shared" si="233"/>
        <v>2.5320284697508897</v>
      </c>
      <c r="BF113" s="73">
        <f t="shared" si="233"/>
        <v>2.5703634669151909</v>
      </c>
      <c r="BG113" s="71">
        <f t="shared" si="233"/>
        <v>2.0989824236817762</v>
      </c>
      <c r="BH113" s="72">
        <f t="shared" si="233"/>
        <v>2.3667279411764706</v>
      </c>
      <c r="BI113" s="72">
        <f t="shared" si="234"/>
        <v>2.3166969147005445</v>
      </c>
      <c r="BJ113" s="72">
        <f t="shared" si="234"/>
        <v>2.4896421845574386</v>
      </c>
      <c r="BK113" s="112">
        <f t="shared" si="234"/>
        <v>2.3876698014629048</v>
      </c>
      <c r="BL113" s="113">
        <f t="shared" si="234"/>
        <v>2.512471655328798</v>
      </c>
      <c r="BM113" s="113">
        <f>+BM117/BM109</f>
        <v>2.9850560398505603</v>
      </c>
      <c r="BN113" s="114">
        <f>+BN117/BN109</f>
        <v>2.5120274914089347</v>
      </c>
      <c r="BO113" s="112">
        <f>+BO117/BO109</f>
        <v>2.6527777777777777</v>
      </c>
      <c r="BP113" s="113">
        <f>+BP117/BP109</f>
        <v>3.1030150753768844</v>
      </c>
      <c r="BQ113" s="113">
        <f>+BQ117/BQ109</f>
        <v>3.1175656984785616</v>
      </c>
      <c r="BR113" s="113">
        <f t="shared" si="241"/>
        <v>2.6676016830294529</v>
      </c>
      <c r="BS113" s="112">
        <f t="shared" si="236"/>
        <v>1.2603174603174603</v>
      </c>
      <c r="BT113" s="113">
        <f t="shared" si="236"/>
        <v>1.8929133858267717</v>
      </c>
      <c r="BU113" s="113">
        <f t="shared" si="236"/>
        <v>3.3333333333333335</v>
      </c>
      <c r="BV113" s="114">
        <f t="shared" ref="BV113:BW113" si="247">+BV117/BV109</f>
        <v>3.404040404040404</v>
      </c>
      <c r="BW113" s="113">
        <f t="shared" si="247"/>
        <v>3.2440087145969501</v>
      </c>
      <c r="BX113" s="113">
        <f t="shared" ref="BX113:BY113" si="248">+BX117/BX109</f>
        <v>2.9858156028368796</v>
      </c>
      <c r="BY113" s="113">
        <f t="shared" si="248"/>
        <v>2.6647398843930636</v>
      </c>
      <c r="BZ113" s="113">
        <f t="shared" ref="BZ113:CC113" si="249">+BZ117/BZ109</f>
        <v>2.4166666666666665</v>
      </c>
      <c r="CA113" s="112">
        <f t="shared" si="249"/>
        <v>2.1632653061224492</v>
      </c>
      <c r="CB113" s="113">
        <f t="shared" si="249"/>
        <v>2.5934065934065935</v>
      </c>
      <c r="CC113" s="113">
        <f t="shared" si="249"/>
        <v>2.7714723926380369</v>
      </c>
      <c r="CD113" s="114">
        <f t="shared" ref="CD113:CG113" si="250">+CD117/CD109</f>
        <v>2.8054545454545456</v>
      </c>
      <c r="CE113" s="112">
        <v>0</v>
      </c>
      <c r="CF113" s="113">
        <v>0</v>
      </c>
      <c r="CG113" s="113">
        <f t="shared" si="250"/>
        <v>2.6003937007874014</v>
      </c>
      <c r="CH113" s="114">
        <f t="shared" ref="CH113:CJ113" si="251">+CH117/CH109</f>
        <v>2.7963302752293577</v>
      </c>
      <c r="CI113" s="112">
        <f t="shared" si="251"/>
        <v>1.7724867724867726</v>
      </c>
      <c r="CJ113" s="113">
        <f t="shared" si="251"/>
        <v>2.2418032786885247</v>
      </c>
      <c r="CK113" s="113">
        <f>+CK117/CK109+0.01</f>
        <v>2.4643080939947777</v>
      </c>
      <c r="CL113" s="114">
        <f t="shared" ref="CL113:CN113" si="252">+CL117/CL109</f>
        <v>3.4524495677233431</v>
      </c>
      <c r="CM113" s="112">
        <f t="shared" si="252"/>
        <v>2.5681818181818183</v>
      </c>
      <c r="CN113" s="113">
        <f t="shared" si="252"/>
        <v>2.7026143790849675</v>
      </c>
      <c r="CO113" s="113">
        <f>+CO117/CO109</f>
        <v>2.5648414985590779</v>
      </c>
      <c r="CP113" s="114">
        <f>+CP117/CP109-0.01</f>
        <v>3.1156830601092897</v>
      </c>
      <c r="CQ113" s="112">
        <f t="shared" ref="CQ113:CT113" si="253">+CQ117/CQ109</f>
        <v>2.9401993355481726</v>
      </c>
      <c r="CR113" s="113">
        <f t="shared" si="253"/>
        <v>2.5407391540755633</v>
      </c>
      <c r="CS113" s="113">
        <f t="shared" si="253"/>
        <v>2.6295180722891565</v>
      </c>
      <c r="CT113" s="114">
        <f t="shared" si="253"/>
        <v>2.8255712859703541</v>
      </c>
      <c r="CU113" s="112">
        <f t="shared" ref="CU113:CX113" si="254">+CU117/CU109</f>
        <v>2.4777448071216619</v>
      </c>
      <c r="CV113" s="113">
        <f t="shared" si="254"/>
        <v>2.4166666666666665</v>
      </c>
      <c r="CW113" s="113" t="e">
        <f t="shared" si="254"/>
        <v>#DIV/0!</v>
      </c>
      <c r="CX113" s="114" t="e">
        <f t="shared" si="254"/>
        <v>#DIV/0!</v>
      </c>
      <c r="CY113" s="347"/>
      <c r="CZ113" s="347"/>
      <c r="DA113" s="347"/>
      <c r="DB113" s="347"/>
      <c r="DC113" s="347"/>
      <c r="DD113" s="347"/>
      <c r="DE113" s="347"/>
      <c r="DF113" s="347"/>
      <c r="DG113" s="347"/>
      <c r="DH113" s="347"/>
      <c r="DI113" s="347"/>
      <c r="DJ113" s="347"/>
      <c r="DK113" s="347"/>
      <c r="DL113" s="347"/>
      <c r="DM113" s="347"/>
      <c r="DN113" s="347"/>
      <c r="DO113" s="347"/>
    </row>
    <row r="114" spans="1:119" x14ac:dyDescent="0.25">
      <c r="A114" s="225"/>
      <c r="B114" s="292" t="s">
        <v>57</v>
      </c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10"/>
      <c r="BB114" s="23"/>
      <c r="BC114" s="49"/>
      <c r="BD114" s="50"/>
      <c r="BE114" s="50"/>
      <c r="BF114" s="51"/>
      <c r="BG114" s="49"/>
      <c r="BH114" s="50"/>
      <c r="BK114" s="225"/>
      <c r="BL114" s="208"/>
      <c r="BM114" s="208"/>
      <c r="BN114" s="227"/>
      <c r="BO114" s="225"/>
      <c r="BP114" s="208"/>
      <c r="BQ114" s="208"/>
      <c r="BR114" s="208"/>
      <c r="BS114" s="225"/>
      <c r="BT114" s="208"/>
      <c r="BU114" s="208"/>
      <c r="BV114" s="227"/>
      <c r="BW114" s="208"/>
      <c r="BX114" s="208"/>
      <c r="BY114" s="208"/>
      <c r="BZ114" s="208"/>
      <c r="CA114" s="225"/>
      <c r="CB114" s="208"/>
      <c r="CC114" s="208"/>
      <c r="CD114" s="227"/>
      <c r="CE114" s="225"/>
      <c r="CF114" s="208"/>
      <c r="CG114" s="208"/>
      <c r="CH114" s="227"/>
      <c r="CI114" s="225"/>
      <c r="CJ114" s="208"/>
      <c r="CK114" s="208"/>
      <c r="CL114" s="227"/>
      <c r="CM114" s="225"/>
      <c r="CN114" s="208"/>
      <c r="CO114" s="208"/>
      <c r="CP114" s="227"/>
      <c r="CQ114" s="225"/>
      <c r="CR114" s="208"/>
      <c r="CS114" s="208"/>
      <c r="CT114" s="227"/>
      <c r="CU114" s="225"/>
      <c r="CV114" s="208"/>
      <c r="CW114" s="208"/>
      <c r="CX114" s="227"/>
    </row>
    <row r="115" spans="1:119" x14ac:dyDescent="0.25">
      <c r="A115" s="225"/>
      <c r="B115" s="227" t="s">
        <v>52</v>
      </c>
      <c r="C115" s="32">
        <v>5158</v>
      </c>
      <c r="D115" s="32">
        <v>5217</v>
      </c>
      <c r="E115" s="32">
        <v>4778</v>
      </c>
      <c r="F115" s="32">
        <v>4942</v>
      </c>
      <c r="G115" s="32">
        <v>5066</v>
      </c>
      <c r="H115" s="32">
        <v>5123</v>
      </c>
      <c r="I115" s="32">
        <v>4684</v>
      </c>
      <c r="J115" s="32">
        <v>4713</v>
      </c>
      <c r="K115" s="32">
        <v>4536</v>
      </c>
      <c r="L115" s="32">
        <v>4518</v>
      </c>
      <c r="M115" s="32">
        <v>4554</v>
      </c>
      <c r="N115" s="32">
        <v>4806</v>
      </c>
      <c r="O115" s="32">
        <v>4704</v>
      </c>
      <c r="P115" s="32">
        <v>5075</v>
      </c>
      <c r="Q115" s="32">
        <v>4312</v>
      </c>
      <c r="R115" s="32">
        <v>4818</v>
      </c>
      <c r="S115" s="32">
        <v>4817</v>
      </c>
      <c r="T115" s="32">
        <v>4594</v>
      </c>
      <c r="U115" s="32">
        <v>4636</v>
      </c>
      <c r="V115" s="32">
        <v>4650</v>
      </c>
      <c r="W115" s="32">
        <v>3708</v>
      </c>
      <c r="X115" s="32">
        <v>3909</v>
      </c>
      <c r="Y115" s="32">
        <v>3707</v>
      </c>
      <c r="Z115" s="32">
        <v>3698</v>
      </c>
      <c r="AA115" s="8">
        <v>2542</v>
      </c>
      <c r="AB115" s="8">
        <v>3678</v>
      </c>
      <c r="AC115" s="8">
        <v>3156</v>
      </c>
      <c r="AD115" s="8">
        <v>3320</v>
      </c>
      <c r="AE115" s="8">
        <v>2489</v>
      </c>
      <c r="AF115" s="8">
        <v>3199</v>
      </c>
      <c r="AG115" s="8">
        <v>3408</v>
      </c>
      <c r="AH115" s="8">
        <v>3288</v>
      </c>
      <c r="AI115" s="8">
        <v>2462</v>
      </c>
      <c r="AJ115" s="8">
        <v>2838</v>
      </c>
      <c r="AK115" s="8">
        <v>3076</v>
      </c>
      <c r="AL115" s="8">
        <v>2925</v>
      </c>
      <c r="AM115" s="8">
        <v>2171</v>
      </c>
      <c r="AN115" s="8">
        <v>2902</v>
      </c>
      <c r="AO115" s="8">
        <v>2524</v>
      </c>
      <c r="AP115" s="8">
        <v>2716</v>
      </c>
      <c r="AQ115" s="8">
        <v>2350</v>
      </c>
      <c r="AR115" s="8">
        <v>2389</v>
      </c>
      <c r="AS115" s="8">
        <v>2333</v>
      </c>
      <c r="AT115" s="8">
        <v>1584</v>
      </c>
      <c r="AU115" s="8">
        <v>1752</v>
      </c>
      <c r="AV115" s="8">
        <v>2179</v>
      </c>
      <c r="AW115" s="8">
        <v>2553</v>
      </c>
      <c r="AX115" s="8">
        <v>2711</v>
      </c>
      <c r="AY115" s="10">
        <v>2164</v>
      </c>
      <c r="AZ115" s="8">
        <v>2354</v>
      </c>
      <c r="BA115" s="8">
        <v>2454</v>
      </c>
      <c r="BB115" s="9">
        <v>2631</v>
      </c>
      <c r="BC115" s="34">
        <v>1634</v>
      </c>
      <c r="BD115" s="32">
        <v>2559</v>
      </c>
      <c r="BE115" s="32">
        <v>2729</v>
      </c>
      <c r="BF115" s="33">
        <v>2635</v>
      </c>
      <c r="BG115" s="34">
        <v>2149</v>
      </c>
      <c r="BH115" s="32">
        <v>2477</v>
      </c>
      <c r="BI115" s="32">
        <v>2438</v>
      </c>
      <c r="BJ115" s="32">
        <v>2537</v>
      </c>
      <c r="BK115" s="213">
        <v>2176</v>
      </c>
      <c r="BL115" s="214">
        <v>2181</v>
      </c>
      <c r="BM115" s="214">
        <v>2376</v>
      </c>
      <c r="BN115" s="259">
        <v>2126</v>
      </c>
      <c r="BO115" s="213">
        <v>1846</v>
      </c>
      <c r="BP115" s="249">
        <v>2429</v>
      </c>
      <c r="BQ115" s="249">
        <v>2222</v>
      </c>
      <c r="BR115" s="249">
        <v>1794</v>
      </c>
      <c r="BS115" s="262">
        <v>567</v>
      </c>
      <c r="BT115" s="249">
        <v>1122</v>
      </c>
      <c r="BU115" s="249">
        <v>2059</v>
      </c>
      <c r="BV115" s="291">
        <v>1997</v>
      </c>
      <c r="BW115" s="249">
        <v>1487</v>
      </c>
      <c r="BX115" s="249">
        <v>820</v>
      </c>
      <c r="BY115" s="249">
        <v>1319</v>
      </c>
      <c r="BZ115" s="249">
        <v>1480</v>
      </c>
      <c r="CA115" s="262">
        <v>1317</v>
      </c>
      <c r="CB115" s="249">
        <v>1602</v>
      </c>
      <c r="CC115" s="249">
        <v>1777</v>
      </c>
      <c r="CD115" s="291">
        <v>1452</v>
      </c>
      <c r="CE115" s="262">
        <v>37</v>
      </c>
      <c r="CF115" s="249">
        <v>22</v>
      </c>
      <c r="CG115" s="249">
        <v>1321</v>
      </c>
      <c r="CH115" s="291">
        <v>1482</v>
      </c>
      <c r="CI115" s="262">
        <v>957</v>
      </c>
      <c r="CJ115" s="249">
        <v>1070</v>
      </c>
      <c r="CK115" s="249">
        <v>933</v>
      </c>
      <c r="CL115" s="291">
        <v>1196</v>
      </c>
      <c r="CM115" s="262">
        <v>900</v>
      </c>
      <c r="CN115" s="249">
        <v>821</v>
      </c>
      <c r="CO115" s="249">
        <v>887</v>
      </c>
      <c r="CP115" s="291">
        <v>1143</v>
      </c>
      <c r="CQ115" s="262">
        <v>885</v>
      </c>
      <c r="CR115" s="249">
        <v>771</v>
      </c>
      <c r="CS115" s="249">
        <v>873</v>
      </c>
      <c r="CT115" s="291">
        <v>1053</v>
      </c>
      <c r="CU115" s="262">
        <v>835</v>
      </c>
      <c r="CV115" s="249">
        <v>725</v>
      </c>
      <c r="CW115" s="249"/>
      <c r="CX115" s="291"/>
    </row>
    <row r="116" spans="1:119" x14ac:dyDescent="0.25">
      <c r="A116" s="225"/>
      <c r="B116" s="227" t="s">
        <v>53</v>
      </c>
      <c r="C116" s="32">
        <v>171</v>
      </c>
      <c r="D116" s="32">
        <v>141</v>
      </c>
      <c r="E116" s="32">
        <v>97</v>
      </c>
      <c r="F116" s="32">
        <v>124</v>
      </c>
      <c r="G116" s="32">
        <v>158</v>
      </c>
      <c r="H116" s="32">
        <v>200</v>
      </c>
      <c r="I116" s="32">
        <v>267</v>
      </c>
      <c r="J116" s="32">
        <v>288</v>
      </c>
      <c r="K116" s="32">
        <v>277</v>
      </c>
      <c r="L116" s="32">
        <v>154</v>
      </c>
      <c r="M116" s="32">
        <v>114</v>
      </c>
      <c r="N116" s="32">
        <v>95</v>
      </c>
      <c r="O116" s="32">
        <v>70</v>
      </c>
      <c r="P116" s="32">
        <v>0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32">
        <v>0</v>
      </c>
      <c r="W116" s="32">
        <v>0</v>
      </c>
      <c r="X116" s="32">
        <v>0</v>
      </c>
      <c r="Y116" s="32">
        <v>0</v>
      </c>
      <c r="Z116" s="32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29</v>
      </c>
      <c r="AH116" s="8">
        <v>30</v>
      </c>
      <c r="AI116" s="8">
        <v>115</v>
      </c>
      <c r="AJ116" s="8">
        <v>18</v>
      </c>
      <c r="AK116" s="8">
        <v>126</v>
      </c>
      <c r="AL116" s="8">
        <v>155</v>
      </c>
      <c r="AM116" s="8">
        <v>143</v>
      </c>
      <c r="AN116" s="8">
        <v>146</v>
      </c>
      <c r="AO116" s="8">
        <v>112</v>
      </c>
      <c r="AP116" s="8">
        <v>73</v>
      </c>
      <c r="AQ116" s="8">
        <v>112</v>
      </c>
      <c r="AR116" s="8">
        <v>88</v>
      </c>
      <c r="AS116" s="8">
        <v>82</v>
      </c>
      <c r="AT116" s="8">
        <v>43</v>
      </c>
      <c r="AU116" s="8">
        <v>105</v>
      </c>
      <c r="AV116" s="8">
        <v>127</v>
      </c>
      <c r="AW116" s="8">
        <v>166</v>
      </c>
      <c r="AX116" s="8">
        <v>129</v>
      </c>
      <c r="AY116" s="10">
        <v>207</v>
      </c>
      <c r="AZ116" s="8">
        <v>186</v>
      </c>
      <c r="BA116" s="8">
        <v>170</v>
      </c>
      <c r="BB116" s="9">
        <v>188</v>
      </c>
      <c r="BC116" s="34">
        <v>166</v>
      </c>
      <c r="BD116" s="32">
        <v>142</v>
      </c>
      <c r="BE116" s="32">
        <v>117</v>
      </c>
      <c r="BF116" s="33">
        <v>123</v>
      </c>
      <c r="BG116" s="34">
        <v>120</v>
      </c>
      <c r="BH116" s="32">
        <v>98</v>
      </c>
      <c r="BI116" s="32">
        <v>115</v>
      </c>
      <c r="BJ116" s="32">
        <v>107</v>
      </c>
      <c r="BK116" s="213">
        <v>109</v>
      </c>
      <c r="BL116" s="214">
        <v>35</v>
      </c>
      <c r="BM116" s="214">
        <v>21</v>
      </c>
      <c r="BN116" s="259">
        <v>67</v>
      </c>
      <c r="BO116" s="213">
        <v>64</v>
      </c>
      <c r="BP116" s="249">
        <v>41</v>
      </c>
      <c r="BQ116" s="249">
        <v>32</v>
      </c>
      <c r="BR116" s="249">
        <v>108</v>
      </c>
      <c r="BS116" s="262">
        <v>227</v>
      </c>
      <c r="BT116" s="249">
        <v>80</v>
      </c>
      <c r="BU116" s="249">
        <v>41</v>
      </c>
      <c r="BV116" s="291">
        <v>25</v>
      </c>
      <c r="BW116" s="249">
        <v>2</v>
      </c>
      <c r="BX116" s="249">
        <v>22</v>
      </c>
      <c r="BY116" s="249">
        <v>64</v>
      </c>
      <c r="BZ116" s="249">
        <v>86</v>
      </c>
      <c r="CA116" s="262">
        <v>61</v>
      </c>
      <c r="CB116" s="249">
        <v>50</v>
      </c>
      <c r="CC116" s="249">
        <v>30</v>
      </c>
      <c r="CD116" s="291">
        <v>91</v>
      </c>
      <c r="CE116" s="262">
        <v>9</v>
      </c>
      <c r="CF116" s="249">
        <v>0</v>
      </c>
      <c r="CG116" s="249">
        <v>0</v>
      </c>
      <c r="CH116" s="291">
        <v>42</v>
      </c>
      <c r="CI116" s="262">
        <v>48</v>
      </c>
      <c r="CJ116" s="249">
        <v>24</v>
      </c>
      <c r="CK116" s="249">
        <v>7</v>
      </c>
      <c r="CL116" s="291">
        <v>2</v>
      </c>
      <c r="CM116" s="262">
        <v>4</v>
      </c>
      <c r="CN116" s="249">
        <v>6</v>
      </c>
      <c r="CO116" s="249">
        <v>3</v>
      </c>
      <c r="CP116" s="291">
        <v>1</v>
      </c>
      <c r="CQ116" s="683">
        <v>0</v>
      </c>
      <c r="CR116" s="684">
        <v>0</v>
      </c>
      <c r="CS116" s="684">
        <v>0</v>
      </c>
      <c r="CT116" s="685">
        <v>0</v>
      </c>
      <c r="CU116" s="683">
        <v>0</v>
      </c>
      <c r="CV116" s="684">
        <v>0</v>
      </c>
      <c r="CW116" s="684"/>
      <c r="CX116" s="685"/>
    </row>
    <row r="117" spans="1:119" s="1" customFormat="1" x14ac:dyDescent="0.25">
      <c r="A117" s="306"/>
      <c r="B117" s="290" t="s">
        <v>54</v>
      </c>
      <c r="C117" s="66">
        <f>+C116+C115</f>
        <v>5329</v>
      </c>
      <c r="D117" s="66">
        <f t="shared" ref="D117:BN117" si="255">+D116+D115</f>
        <v>5358</v>
      </c>
      <c r="E117" s="66">
        <f t="shared" si="255"/>
        <v>4875</v>
      </c>
      <c r="F117" s="66">
        <f t="shared" si="255"/>
        <v>5066</v>
      </c>
      <c r="G117" s="66">
        <f t="shared" si="255"/>
        <v>5224</v>
      </c>
      <c r="H117" s="66">
        <f t="shared" si="255"/>
        <v>5323</v>
      </c>
      <c r="I117" s="66">
        <f t="shared" si="255"/>
        <v>4951</v>
      </c>
      <c r="J117" s="66">
        <f t="shared" si="255"/>
        <v>5001</v>
      </c>
      <c r="K117" s="66">
        <f t="shared" si="255"/>
        <v>4813</v>
      </c>
      <c r="L117" s="66">
        <f t="shared" si="255"/>
        <v>4672</v>
      </c>
      <c r="M117" s="66">
        <f t="shared" si="255"/>
        <v>4668</v>
      </c>
      <c r="N117" s="66">
        <f t="shared" si="255"/>
        <v>4901</v>
      </c>
      <c r="O117" s="66">
        <f t="shared" si="255"/>
        <v>4774</v>
      </c>
      <c r="P117" s="66">
        <f t="shared" si="255"/>
        <v>5075</v>
      </c>
      <c r="Q117" s="66">
        <f t="shared" si="255"/>
        <v>4312</v>
      </c>
      <c r="R117" s="66">
        <f t="shared" si="255"/>
        <v>4818</v>
      </c>
      <c r="S117" s="66">
        <f t="shared" si="255"/>
        <v>4817</v>
      </c>
      <c r="T117" s="66">
        <f t="shared" si="255"/>
        <v>4594</v>
      </c>
      <c r="U117" s="66">
        <f t="shared" si="255"/>
        <v>4636</v>
      </c>
      <c r="V117" s="66">
        <f t="shared" si="255"/>
        <v>4650</v>
      </c>
      <c r="W117" s="66">
        <f t="shared" si="255"/>
        <v>3708</v>
      </c>
      <c r="X117" s="66">
        <f t="shared" si="255"/>
        <v>3909</v>
      </c>
      <c r="Y117" s="66">
        <f t="shared" si="255"/>
        <v>3707</v>
      </c>
      <c r="Z117" s="66">
        <f t="shared" si="255"/>
        <v>3698</v>
      </c>
      <c r="AA117" s="63">
        <f t="shared" si="255"/>
        <v>2542</v>
      </c>
      <c r="AB117" s="63">
        <f t="shared" si="255"/>
        <v>3678</v>
      </c>
      <c r="AC117" s="63">
        <f t="shared" si="255"/>
        <v>3156</v>
      </c>
      <c r="AD117" s="63">
        <f t="shared" si="255"/>
        <v>3320</v>
      </c>
      <c r="AE117" s="63">
        <f t="shared" si="255"/>
        <v>2489</v>
      </c>
      <c r="AF117" s="63">
        <f t="shared" si="255"/>
        <v>3199</v>
      </c>
      <c r="AG117" s="63">
        <f t="shared" si="255"/>
        <v>3437</v>
      </c>
      <c r="AH117" s="63">
        <f t="shared" si="255"/>
        <v>3318</v>
      </c>
      <c r="AI117" s="63">
        <f t="shared" si="255"/>
        <v>2577</v>
      </c>
      <c r="AJ117" s="63">
        <f t="shared" si="255"/>
        <v>2856</v>
      </c>
      <c r="AK117" s="63">
        <f t="shared" si="255"/>
        <v>3202</v>
      </c>
      <c r="AL117" s="63">
        <f t="shared" si="255"/>
        <v>3080</v>
      </c>
      <c r="AM117" s="63">
        <f t="shared" si="255"/>
        <v>2314</v>
      </c>
      <c r="AN117" s="63">
        <f t="shared" si="255"/>
        <v>3048</v>
      </c>
      <c r="AO117" s="63">
        <f t="shared" si="255"/>
        <v>2636</v>
      </c>
      <c r="AP117" s="63">
        <f t="shared" si="255"/>
        <v>2789</v>
      </c>
      <c r="AQ117" s="63">
        <f t="shared" si="255"/>
        <v>2462</v>
      </c>
      <c r="AR117" s="63">
        <f t="shared" si="255"/>
        <v>2477</v>
      </c>
      <c r="AS117" s="63">
        <f t="shared" si="255"/>
        <v>2415</v>
      </c>
      <c r="AT117" s="63">
        <f t="shared" si="255"/>
        <v>1627</v>
      </c>
      <c r="AU117" s="63">
        <f t="shared" si="255"/>
        <v>1857</v>
      </c>
      <c r="AV117" s="63">
        <f t="shared" si="255"/>
        <v>2306</v>
      </c>
      <c r="AW117" s="63">
        <f t="shared" si="255"/>
        <v>2719</v>
      </c>
      <c r="AX117" s="63">
        <f t="shared" si="255"/>
        <v>2840</v>
      </c>
      <c r="AY117" s="62">
        <f t="shared" si="255"/>
        <v>2371</v>
      </c>
      <c r="AZ117" s="63">
        <f t="shared" si="255"/>
        <v>2540</v>
      </c>
      <c r="BA117" s="63">
        <f t="shared" si="255"/>
        <v>2624</v>
      </c>
      <c r="BB117" s="64">
        <f t="shared" si="255"/>
        <v>2819</v>
      </c>
      <c r="BC117" s="65">
        <f t="shared" si="255"/>
        <v>1800</v>
      </c>
      <c r="BD117" s="66">
        <f t="shared" si="255"/>
        <v>2701</v>
      </c>
      <c r="BE117" s="66">
        <f t="shared" si="255"/>
        <v>2846</v>
      </c>
      <c r="BF117" s="67">
        <f t="shared" si="255"/>
        <v>2758</v>
      </c>
      <c r="BG117" s="65">
        <f t="shared" si="255"/>
        <v>2269</v>
      </c>
      <c r="BH117" s="66">
        <f t="shared" si="255"/>
        <v>2575</v>
      </c>
      <c r="BI117" s="66">
        <f t="shared" si="255"/>
        <v>2553</v>
      </c>
      <c r="BJ117" s="66">
        <f t="shared" si="255"/>
        <v>2644</v>
      </c>
      <c r="BK117" s="109">
        <f t="shared" si="255"/>
        <v>2285</v>
      </c>
      <c r="BL117" s="110">
        <f t="shared" si="255"/>
        <v>2216</v>
      </c>
      <c r="BM117" s="110">
        <f t="shared" si="255"/>
        <v>2397</v>
      </c>
      <c r="BN117" s="111">
        <f t="shared" si="255"/>
        <v>2193</v>
      </c>
      <c r="BO117" s="109">
        <f t="shared" ref="BO117:BV117" si="256">+BO116+BO115</f>
        <v>1910</v>
      </c>
      <c r="BP117" s="110">
        <f t="shared" si="256"/>
        <v>2470</v>
      </c>
      <c r="BQ117" s="110">
        <f t="shared" si="256"/>
        <v>2254</v>
      </c>
      <c r="BR117" s="110">
        <f t="shared" si="256"/>
        <v>1902</v>
      </c>
      <c r="BS117" s="109">
        <f t="shared" si="256"/>
        <v>794</v>
      </c>
      <c r="BT117" s="110">
        <f t="shared" si="256"/>
        <v>1202</v>
      </c>
      <c r="BU117" s="110">
        <f t="shared" si="256"/>
        <v>2100</v>
      </c>
      <c r="BV117" s="111">
        <f t="shared" si="256"/>
        <v>2022</v>
      </c>
      <c r="BW117" s="110">
        <f t="shared" ref="BW117:BX117" si="257">+BW116+BW115</f>
        <v>1489</v>
      </c>
      <c r="BX117" s="110">
        <f t="shared" si="257"/>
        <v>842</v>
      </c>
      <c r="BY117" s="110">
        <f t="shared" ref="BY117:BZ117" si="258">+BY116+BY115</f>
        <v>1383</v>
      </c>
      <c r="BZ117" s="110">
        <f t="shared" si="258"/>
        <v>1566</v>
      </c>
      <c r="CA117" s="109">
        <f t="shared" ref="CA117:CB117" si="259">+CA116+CA115</f>
        <v>1378</v>
      </c>
      <c r="CB117" s="110">
        <f t="shared" si="259"/>
        <v>1652</v>
      </c>
      <c r="CC117" s="110">
        <f t="shared" ref="CC117:CF117" si="260">+CC116+CC115</f>
        <v>1807</v>
      </c>
      <c r="CD117" s="111">
        <f t="shared" si="260"/>
        <v>1543</v>
      </c>
      <c r="CE117" s="109">
        <f t="shared" si="260"/>
        <v>46</v>
      </c>
      <c r="CF117" s="110">
        <f t="shared" si="260"/>
        <v>22</v>
      </c>
      <c r="CG117" s="110">
        <f t="shared" ref="CG117:CJ117" si="261">+CG116+CG115</f>
        <v>1321</v>
      </c>
      <c r="CH117" s="111">
        <f t="shared" si="261"/>
        <v>1524</v>
      </c>
      <c r="CI117" s="109">
        <f t="shared" si="261"/>
        <v>1005</v>
      </c>
      <c r="CJ117" s="110">
        <f t="shared" si="261"/>
        <v>1094</v>
      </c>
      <c r="CK117" s="110">
        <f t="shared" ref="CK117:CP117" si="262">+CK116+CK115</f>
        <v>940</v>
      </c>
      <c r="CL117" s="111">
        <f t="shared" si="262"/>
        <v>1198</v>
      </c>
      <c r="CM117" s="109">
        <f t="shared" si="262"/>
        <v>904</v>
      </c>
      <c r="CN117" s="110">
        <f t="shared" si="262"/>
        <v>827</v>
      </c>
      <c r="CO117" s="110">
        <f t="shared" si="262"/>
        <v>890</v>
      </c>
      <c r="CP117" s="111">
        <f t="shared" si="262"/>
        <v>1144</v>
      </c>
      <c r="CQ117" s="109">
        <f t="shared" ref="CQ117:CT117" si="263">+CQ116+CQ115</f>
        <v>885</v>
      </c>
      <c r="CR117" s="110">
        <f t="shared" si="263"/>
        <v>771</v>
      </c>
      <c r="CS117" s="110">
        <f t="shared" si="263"/>
        <v>873</v>
      </c>
      <c r="CT117" s="111">
        <f t="shared" si="263"/>
        <v>1053</v>
      </c>
      <c r="CU117" s="109">
        <f t="shared" ref="CU117:CX117" si="264">+CU116+CU115</f>
        <v>835</v>
      </c>
      <c r="CV117" s="110">
        <f t="shared" si="264"/>
        <v>725</v>
      </c>
      <c r="CW117" s="110">
        <f t="shared" si="264"/>
        <v>0</v>
      </c>
      <c r="CX117" s="111">
        <f t="shared" si="264"/>
        <v>0</v>
      </c>
      <c r="CY117" s="347"/>
      <c r="CZ117" s="347"/>
      <c r="DA117" s="347"/>
      <c r="DB117" s="347"/>
      <c r="DC117" s="347"/>
      <c r="DD117" s="347"/>
      <c r="DE117" s="347"/>
      <c r="DF117" s="347"/>
      <c r="DG117" s="347"/>
      <c r="DH117" s="347"/>
      <c r="DI117" s="347"/>
      <c r="DJ117" s="347"/>
      <c r="DK117" s="347"/>
      <c r="DL117" s="347"/>
      <c r="DM117" s="347"/>
      <c r="DN117" s="347"/>
      <c r="DO117" s="347"/>
    </row>
    <row r="118" spans="1:119" x14ac:dyDescent="0.25">
      <c r="A118" s="225"/>
      <c r="B118" s="292" t="s">
        <v>124</v>
      </c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167" t="s">
        <v>58</v>
      </c>
      <c r="AY118" s="10"/>
      <c r="BB118" s="23"/>
      <c r="BC118" s="49"/>
      <c r="BD118" s="50"/>
      <c r="BE118" s="50"/>
      <c r="BF118" s="51"/>
      <c r="BG118" s="49"/>
      <c r="BH118" s="50"/>
      <c r="BK118" s="225"/>
      <c r="BL118" s="208"/>
      <c r="BM118" s="208"/>
      <c r="BN118" s="227"/>
      <c r="BO118" s="225"/>
      <c r="BP118" s="208"/>
      <c r="BQ118" s="208"/>
      <c r="BR118" s="208"/>
      <c r="BS118" s="225"/>
      <c r="BT118" s="208"/>
      <c r="BU118" s="208"/>
      <c r="BV118" s="227"/>
      <c r="BW118" s="208"/>
      <c r="BX118" s="208"/>
      <c r="BY118" s="208"/>
      <c r="BZ118" s="208"/>
      <c r="CA118" s="225"/>
      <c r="CB118" s="208"/>
      <c r="CC118" s="208"/>
      <c r="CD118" s="227"/>
      <c r="CE118" s="225"/>
      <c r="CF118" s="208"/>
      <c r="CG118" s="208"/>
      <c r="CH118" s="227"/>
      <c r="CI118" s="225"/>
      <c r="CJ118" s="208"/>
      <c r="CK118" s="208"/>
      <c r="CL118" s="227"/>
      <c r="CM118" s="225"/>
      <c r="CN118" s="208"/>
      <c r="CO118" s="208"/>
      <c r="CP118" s="227"/>
      <c r="CQ118" s="225"/>
      <c r="CR118" s="208"/>
      <c r="CS118" s="208"/>
      <c r="CT118" s="227"/>
      <c r="CU118" s="225"/>
      <c r="CV118" s="208"/>
      <c r="CW118" s="208"/>
      <c r="CX118" s="227"/>
    </row>
    <row r="119" spans="1:119" x14ac:dyDescent="0.25">
      <c r="A119" s="225"/>
      <c r="B119" s="227" t="s">
        <v>52</v>
      </c>
      <c r="C119" s="32">
        <v>367</v>
      </c>
      <c r="D119" s="32">
        <v>318</v>
      </c>
      <c r="E119" s="32">
        <v>332</v>
      </c>
      <c r="F119" s="32">
        <v>345</v>
      </c>
      <c r="G119" s="32">
        <v>349</v>
      </c>
      <c r="H119" s="32">
        <v>376</v>
      </c>
      <c r="I119" s="32">
        <v>368</v>
      </c>
      <c r="J119" s="32">
        <v>387</v>
      </c>
      <c r="K119" s="32">
        <v>374</v>
      </c>
      <c r="L119" s="32">
        <v>398</v>
      </c>
      <c r="M119" s="32">
        <v>389</v>
      </c>
      <c r="N119" s="32">
        <v>404</v>
      </c>
      <c r="O119" s="32">
        <v>445</v>
      </c>
      <c r="P119" s="32">
        <v>451</v>
      </c>
      <c r="Q119" s="32">
        <v>470</v>
      </c>
      <c r="R119" s="32">
        <v>440</v>
      </c>
      <c r="S119" s="32">
        <v>452</v>
      </c>
      <c r="T119" s="32">
        <v>459</v>
      </c>
      <c r="U119" s="32">
        <v>385</v>
      </c>
      <c r="V119" s="32">
        <v>419</v>
      </c>
      <c r="W119" s="32">
        <v>481</v>
      </c>
      <c r="X119" s="32">
        <v>454</v>
      </c>
      <c r="Y119" s="32">
        <v>455</v>
      </c>
      <c r="Z119" s="32">
        <v>484</v>
      </c>
      <c r="AA119" s="8">
        <v>655</v>
      </c>
      <c r="AB119" s="8">
        <v>591</v>
      </c>
      <c r="AC119" s="8">
        <v>631</v>
      </c>
      <c r="AD119" s="8">
        <v>630</v>
      </c>
      <c r="AE119" s="8">
        <v>807</v>
      </c>
      <c r="AF119" s="8">
        <v>682</v>
      </c>
      <c r="AG119" s="8">
        <v>770</v>
      </c>
      <c r="AH119" s="8">
        <v>732</v>
      </c>
      <c r="AI119" s="8">
        <v>900</v>
      </c>
      <c r="AJ119" s="8">
        <v>796</v>
      </c>
      <c r="AK119" s="8">
        <v>892</v>
      </c>
      <c r="AL119" s="8">
        <v>880</v>
      </c>
      <c r="AM119" s="8">
        <v>1052</v>
      </c>
      <c r="AN119" s="8">
        <v>927</v>
      </c>
      <c r="AO119" s="8">
        <v>1101</v>
      </c>
      <c r="AP119" s="8">
        <v>902</v>
      </c>
      <c r="AQ119" s="8">
        <v>1124</v>
      </c>
      <c r="AR119" s="8">
        <v>1188</v>
      </c>
      <c r="AS119" s="8">
        <v>1243</v>
      </c>
      <c r="AT119" s="8">
        <v>1389</v>
      </c>
      <c r="AU119" s="8">
        <v>1599</v>
      </c>
      <c r="AV119" s="8">
        <v>1224</v>
      </c>
      <c r="AW119" s="8">
        <v>1153</v>
      </c>
      <c r="AX119" s="8">
        <v>1011</v>
      </c>
      <c r="AY119" s="10">
        <v>1335</v>
      </c>
      <c r="AZ119" s="8">
        <v>1192</v>
      </c>
      <c r="BA119" s="8">
        <v>1201</v>
      </c>
      <c r="BB119" s="9">
        <v>1057</v>
      </c>
      <c r="BC119" s="34">
        <v>1216</v>
      </c>
      <c r="BD119" s="32">
        <v>1137</v>
      </c>
      <c r="BE119" s="32">
        <v>1098</v>
      </c>
      <c r="BF119" s="33">
        <v>1248</v>
      </c>
      <c r="BG119" s="34">
        <v>1262</v>
      </c>
      <c r="BH119" s="32">
        <v>1182</v>
      </c>
      <c r="BI119" s="32">
        <v>1226</v>
      </c>
      <c r="BJ119" s="32">
        <v>1324</v>
      </c>
      <c r="BK119" s="213">
        <v>1461</v>
      </c>
      <c r="BL119" s="214">
        <v>1306</v>
      </c>
      <c r="BM119" s="214">
        <v>1418</v>
      </c>
      <c r="BN119" s="259">
        <v>1462</v>
      </c>
      <c r="BO119" s="213">
        <v>1680</v>
      </c>
      <c r="BP119" s="214">
        <v>1483</v>
      </c>
      <c r="BQ119" s="214">
        <v>1622</v>
      </c>
      <c r="BR119" s="214">
        <v>2103</v>
      </c>
      <c r="BS119" s="213">
        <v>4301</v>
      </c>
      <c r="BT119" s="214">
        <v>2495</v>
      </c>
      <c r="BU119" s="214">
        <v>1793</v>
      </c>
      <c r="BV119" s="259">
        <v>1805</v>
      </c>
      <c r="BW119" s="214">
        <v>2130</v>
      </c>
      <c r="BX119" s="214">
        <v>3926</v>
      </c>
      <c r="BY119" s="214">
        <v>2732</v>
      </c>
      <c r="BZ119" s="214">
        <v>2329</v>
      </c>
      <c r="CA119" s="213">
        <v>2315</v>
      </c>
      <c r="CB119" s="214">
        <v>2394</v>
      </c>
      <c r="CC119" s="214">
        <v>2262</v>
      </c>
      <c r="CD119" s="259">
        <v>3075</v>
      </c>
      <c r="CE119" s="213">
        <v>0</v>
      </c>
      <c r="CF119" s="214">
        <v>0</v>
      </c>
      <c r="CG119" s="214">
        <v>3393</v>
      </c>
      <c r="CH119" s="259">
        <v>2749</v>
      </c>
      <c r="CI119" s="213">
        <v>2541</v>
      </c>
      <c r="CJ119" s="214">
        <v>2650</v>
      </c>
      <c r="CK119" s="214">
        <v>3184</v>
      </c>
      <c r="CL119" s="259">
        <v>2927</v>
      </c>
      <c r="CM119" s="213">
        <v>3046</v>
      </c>
      <c r="CN119" s="214">
        <v>3593</v>
      </c>
      <c r="CO119" s="214">
        <v>3397</v>
      </c>
      <c r="CP119" s="259">
        <v>2891</v>
      </c>
      <c r="CQ119" s="213">
        <v>3602</v>
      </c>
      <c r="CR119" s="214">
        <v>3514</v>
      </c>
      <c r="CS119" s="214">
        <v>3276</v>
      </c>
      <c r="CT119" s="259">
        <v>3588</v>
      </c>
      <c r="CU119" s="213">
        <v>3605</v>
      </c>
      <c r="CV119" s="214">
        <v>4072</v>
      </c>
      <c r="CW119" s="214"/>
      <c r="CX119" s="259"/>
    </row>
    <row r="120" spans="1:119" x14ac:dyDescent="0.25">
      <c r="A120" s="225"/>
      <c r="B120" s="227" t="s">
        <v>53</v>
      </c>
      <c r="C120" s="32">
        <v>19</v>
      </c>
      <c r="D120" s="32">
        <v>32</v>
      </c>
      <c r="E120" s="32">
        <v>28</v>
      </c>
      <c r="F120" s="32">
        <v>35</v>
      </c>
      <c r="G120" s="32">
        <v>35</v>
      </c>
      <c r="H120" s="32">
        <v>22</v>
      </c>
      <c r="I120" s="32">
        <v>40</v>
      </c>
      <c r="J120" s="32">
        <v>36</v>
      </c>
      <c r="K120" s="32">
        <v>32</v>
      </c>
      <c r="L120" s="32">
        <v>39</v>
      </c>
      <c r="M120" s="32">
        <v>39</v>
      </c>
      <c r="N120" s="32">
        <v>36</v>
      </c>
      <c r="O120" s="32">
        <v>20</v>
      </c>
      <c r="P120" s="32">
        <v>0</v>
      </c>
      <c r="Q120" s="32">
        <v>0</v>
      </c>
      <c r="R120" s="32">
        <v>0</v>
      </c>
      <c r="S120" s="32">
        <v>0</v>
      </c>
      <c r="T120" s="32">
        <v>0</v>
      </c>
      <c r="U120" s="32">
        <v>0</v>
      </c>
      <c r="V120" s="32">
        <v>0</v>
      </c>
      <c r="W120" s="32">
        <v>0</v>
      </c>
      <c r="X120" s="32">
        <v>0</v>
      </c>
      <c r="Y120" s="32">
        <v>0</v>
      </c>
      <c r="Z120" s="32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13</v>
      </c>
      <c r="AH120" s="8">
        <v>13</v>
      </c>
      <c r="AI120" s="8">
        <v>8</v>
      </c>
      <c r="AJ120" s="8">
        <v>10</v>
      </c>
      <c r="AK120" s="8">
        <v>62</v>
      </c>
      <c r="AL120" s="8">
        <v>55</v>
      </c>
      <c r="AM120" s="8">
        <v>60</v>
      </c>
      <c r="AN120" s="8">
        <v>59</v>
      </c>
      <c r="AO120" s="8">
        <v>74</v>
      </c>
      <c r="AP120" s="8">
        <v>77</v>
      </c>
      <c r="AQ120" s="8">
        <v>55</v>
      </c>
      <c r="AR120" s="8">
        <v>81</v>
      </c>
      <c r="AS120" s="8">
        <v>91</v>
      </c>
      <c r="AT120" s="8">
        <v>76</v>
      </c>
      <c r="AU120" s="8">
        <v>30</v>
      </c>
      <c r="AV120" s="8">
        <v>117</v>
      </c>
      <c r="AW120" s="8">
        <v>85</v>
      </c>
      <c r="AX120" s="8">
        <v>101</v>
      </c>
      <c r="AY120" s="10">
        <v>74</v>
      </c>
      <c r="AZ120" s="8">
        <v>76</v>
      </c>
      <c r="BA120" s="8">
        <v>83</v>
      </c>
      <c r="BB120" s="9">
        <v>75</v>
      </c>
      <c r="BC120" s="34">
        <v>109</v>
      </c>
      <c r="BD120" s="32">
        <v>145</v>
      </c>
      <c r="BE120" s="32">
        <v>150</v>
      </c>
      <c r="BF120" s="33">
        <v>121</v>
      </c>
      <c r="BG120" s="34">
        <v>118</v>
      </c>
      <c r="BH120" s="32">
        <v>151</v>
      </c>
      <c r="BI120" s="32">
        <v>131</v>
      </c>
      <c r="BJ120" s="32">
        <v>109</v>
      </c>
      <c r="BK120" s="213">
        <v>130</v>
      </c>
      <c r="BL120" s="214">
        <v>238</v>
      </c>
      <c r="BM120" s="214">
        <v>141</v>
      </c>
      <c r="BN120" s="259">
        <v>57</v>
      </c>
      <c r="BO120" s="213">
        <v>97</v>
      </c>
      <c r="BP120" s="214">
        <v>123</v>
      </c>
      <c r="BQ120" s="214">
        <v>109</v>
      </c>
      <c r="BR120" s="214">
        <v>100</v>
      </c>
      <c r="BS120" s="213">
        <v>154</v>
      </c>
      <c r="BT120" s="214">
        <v>211</v>
      </c>
      <c r="BU120" s="214">
        <v>131</v>
      </c>
      <c r="BV120" s="259">
        <v>98</v>
      </c>
      <c r="BW120" s="214">
        <v>329</v>
      </c>
      <c r="BX120" s="214">
        <v>185</v>
      </c>
      <c r="BY120" s="214">
        <v>207</v>
      </c>
      <c r="BZ120" s="214">
        <v>188</v>
      </c>
      <c r="CA120" s="213">
        <v>116</v>
      </c>
      <c r="CB120" s="214">
        <v>186</v>
      </c>
      <c r="CC120" s="214">
        <v>204</v>
      </c>
      <c r="CD120" s="259">
        <v>230</v>
      </c>
      <c r="CE120" s="213">
        <v>0</v>
      </c>
      <c r="CF120" s="214">
        <v>0</v>
      </c>
      <c r="CG120" s="214">
        <v>1222</v>
      </c>
      <c r="CH120" s="259">
        <v>94</v>
      </c>
      <c r="CI120" s="213">
        <v>232</v>
      </c>
      <c r="CJ120" s="214">
        <v>279</v>
      </c>
      <c r="CK120" s="214">
        <v>429</v>
      </c>
      <c r="CL120" s="259">
        <v>387</v>
      </c>
      <c r="CM120" s="213">
        <v>302</v>
      </c>
      <c r="CN120" s="214">
        <v>331</v>
      </c>
      <c r="CO120" s="214">
        <v>387</v>
      </c>
      <c r="CP120" s="259">
        <v>256</v>
      </c>
      <c r="CQ120" s="213"/>
      <c r="CR120" s="214"/>
      <c r="CS120" s="214"/>
      <c r="CT120" s="259"/>
      <c r="CU120" s="213"/>
      <c r="CV120" s="214"/>
      <c r="CW120" s="214"/>
      <c r="CX120" s="259"/>
    </row>
    <row r="121" spans="1:119" s="1" customFormat="1" x14ac:dyDescent="0.25">
      <c r="A121" s="306"/>
      <c r="B121" s="290" t="s">
        <v>54</v>
      </c>
      <c r="C121" s="66">
        <f>+((C119*C107)+(C120*C108))/(C109)</f>
        <v>307.59393939393942</v>
      </c>
      <c r="D121" s="66">
        <f>+((D119*D107)+(D120*D108))/(D109)</f>
        <v>278.69074889867841</v>
      </c>
      <c r="E121" s="66">
        <f>+((E119*E107)+(E120*E108))/(E109)</f>
        <v>293.08591065292097</v>
      </c>
      <c r="F121" s="66">
        <f>+((F119*F107)+(F120*F108))/(F109)</f>
        <v>301.88566552901023</v>
      </c>
      <c r="G121" s="66">
        <f>+((G119*G107)+(G120*G108))/(G109)</f>
        <v>303.28452579034939</v>
      </c>
      <c r="H121" s="66">
        <f>+((H119*H107)+(H120*H108))/(H109)-1</f>
        <v>320.58445945945948</v>
      </c>
      <c r="I121" s="66">
        <f>+((I119*I107)+(I120*I108))/(I109)</f>
        <v>289.97252349963844</v>
      </c>
      <c r="J121" s="66">
        <f>+((J119*J107)+(J120*J108))/(J109)-1</f>
        <v>287.51798561151077</v>
      </c>
      <c r="K121" s="66">
        <f>+((K119*K107)+(K120*K108))/(K109)</f>
        <v>268.08121128699241</v>
      </c>
      <c r="L121" s="66">
        <f>+((L119*L107)+(L120*L108))/(L109)</f>
        <v>323.379705400982</v>
      </c>
      <c r="M121" s="66">
        <f>+((M119*M107)+(M120*M108))/(M109)</f>
        <v>345.25</v>
      </c>
      <c r="N121" s="66">
        <f>+((N119*N107)+(N120*N108))/(N109)-1</f>
        <v>377.70210815765353</v>
      </c>
      <c r="O121" s="66">
        <f t="shared" ref="O121:U121" si="265">+((O119*O107)+(O120*O108))/(O109)</f>
        <v>399.70617529880479</v>
      </c>
      <c r="P121" s="66">
        <f t="shared" si="265"/>
        <v>451</v>
      </c>
      <c r="Q121" s="66">
        <f t="shared" si="265"/>
        <v>470</v>
      </c>
      <c r="R121" s="66">
        <f t="shared" si="265"/>
        <v>440</v>
      </c>
      <c r="S121" s="66">
        <f t="shared" si="265"/>
        <v>452</v>
      </c>
      <c r="T121" s="66">
        <f t="shared" si="265"/>
        <v>459</v>
      </c>
      <c r="U121" s="66">
        <f t="shared" si="265"/>
        <v>385</v>
      </c>
      <c r="V121" s="66">
        <f t="shared" ref="V121:AR121" si="266">+((V119*V107)+(V120*V108))/(V109)</f>
        <v>419</v>
      </c>
      <c r="W121" s="66">
        <f t="shared" si="266"/>
        <v>481</v>
      </c>
      <c r="X121" s="66">
        <f t="shared" si="266"/>
        <v>454</v>
      </c>
      <c r="Y121" s="66">
        <f t="shared" si="266"/>
        <v>455</v>
      </c>
      <c r="Z121" s="66">
        <f t="shared" si="266"/>
        <v>484</v>
      </c>
      <c r="AA121" s="63">
        <f t="shared" si="266"/>
        <v>655</v>
      </c>
      <c r="AB121" s="63">
        <f t="shared" si="266"/>
        <v>591</v>
      </c>
      <c r="AC121" s="63">
        <f t="shared" si="266"/>
        <v>631</v>
      </c>
      <c r="AD121" s="63">
        <f t="shared" si="266"/>
        <v>630</v>
      </c>
      <c r="AE121" s="63">
        <f t="shared" si="266"/>
        <v>807</v>
      </c>
      <c r="AF121" s="63">
        <f t="shared" si="266"/>
        <v>682</v>
      </c>
      <c r="AG121" s="63">
        <f t="shared" si="266"/>
        <v>747.98862199747157</v>
      </c>
      <c r="AH121" s="63">
        <f t="shared" si="266"/>
        <v>704.71848225214194</v>
      </c>
      <c r="AI121" s="63">
        <f>+((AI119*AI107)+(AI120*AI108))/(AI109)+1</f>
        <v>758.47658402203854</v>
      </c>
      <c r="AJ121" s="63">
        <f t="shared" si="266"/>
        <v>774.07531380753142</v>
      </c>
      <c r="AK121" s="63">
        <f>+((AK119*AK107)+(AK120*AK108))/(AK109)-1</f>
        <v>668.6627534685166</v>
      </c>
      <c r="AL121" s="63">
        <f>+((AL119*AL107)+(AL120*AL108))/(AL109)+1</f>
        <v>590.48443579766536</v>
      </c>
      <c r="AM121" s="63">
        <f t="shared" si="266"/>
        <v>605.16299559471361</v>
      </c>
      <c r="AN121" s="63">
        <f>+((AN119*AN107)+(AN120*AN108))/(AN109)-1</f>
        <v>583.66728971962618</v>
      </c>
      <c r="AO121" s="63">
        <f t="shared" si="266"/>
        <v>698.88209121245825</v>
      </c>
      <c r="AP121" s="63">
        <f t="shared" si="266"/>
        <v>644.84574468085111</v>
      </c>
      <c r="AQ121" s="63">
        <f t="shared" si="266"/>
        <v>638.1892712550607</v>
      </c>
      <c r="AR121" s="63">
        <f t="shared" si="266"/>
        <v>753.3724832214765</v>
      </c>
      <c r="AS121" s="63">
        <f>+((AS119*AS107)+(AS120*AS108))/(AS109)</f>
        <v>813.12969283276448</v>
      </c>
      <c r="AT121" s="63">
        <f>+((AT119*AT107)+(AT120*AT108))/(AT109)</f>
        <v>1019.1103789126853</v>
      </c>
      <c r="AU121" s="63">
        <f t="shared" ref="AU121:BA121" si="267">+((AU119*AU107)+(AU120*AU108))/(AU109)</f>
        <v>823.70774647887322</v>
      </c>
      <c r="AV121" s="63">
        <f t="shared" si="267"/>
        <v>697.20624408703884</v>
      </c>
      <c r="AW121" s="63">
        <f t="shared" si="267"/>
        <v>717.12188365650968</v>
      </c>
      <c r="AX121" s="63">
        <f t="shared" si="267"/>
        <v>717.87898089171972</v>
      </c>
      <c r="AY121" s="62">
        <f t="shared" si="267"/>
        <v>696.57630161579891</v>
      </c>
      <c r="AZ121" s="63">
        <f t="shared" si="267"/>
        <v>707.84574934268187</v>
      </c>
      <c r="BA121" s="63">
        <f t="shared" si="267"/>
        <v>753.8</v>
      </c>
      <c r="BB121" s="64">
        <f>+((BB119*BB107)+(BB120*BB108))/(BB109)-1</f>
        <v>663.52842809364552</v>
      </c>
      <c r="BC121" s="65">
        <f t="shared" ref="BC121:BH121" si="268">+((BC119*BC107)+(BC120*BC108))/(BC109)</f>
        <v>720.84615384615381</v>
      </c>
      <c r="BD121" s="66">
        <f t="shared" si="268"/>
        <v>794.57904583723109</v>
      </c>
      <c r="BE121" s="66">
        <f t="shared" si="268"/>
        <v>807.86476868327406</v>
      </c>
      <c r="BF121" s="67">
        <f t="shared" si="268"/>
        <v>815.26561043802428</v>
      </c>
      <c r="BG121" s="65">
        <f t="shared" si="268"/>
        <v>812.23126734505092</v>
      </c>
      <c r="BH121" s="66">
        <f t="shared" si="268"/>
        <v>873.07904411764707</v>
      </c>
      <c r="BI121" s="66">
        <v>869</v>
      </c>
      <c r="BJ121" s="66">
        <v>911</v>
      </c>
      <c r="BK121" s="109">
        <v>993</v>
      </c>
      <c r="BL121" s="110">
        <v>1139</v>
      </c>
      <c r="BM121" s="110">
        <v>1294</v>
      </c>
      <c r="BN121" s="111">
        <v>1098</v>
      </c>
      <c r="BO121" s="109">
        <v>1300</v>
      </c>
      <c r="BP121" s="110">
        <v>1294</v>
      </c>
      <c r="BQ121" s="110">
        <v>1425</v>
      </c>
      <c r="BR121" s="110">
        <v>1283</v>
      </c>
      <c r="BS121" s="109">
        <v>1300</v>
      </c>
      <c r="BT121" s="110">
        <v>1513</v>
      </c>
      <c r="BU121" s="110">
        <v>1603</v>
      </c>
      <c r="BV121" s="111">
        <v>1615</v>
      </c>
      <c r="BW121" s="110">
        <v>2103</v>
      </c>
      <c r="BX121" s="110">
        <v>2693</v>
      </c>
      <c r="BY121" s="110">
        <v>1929</v>
      </c>
      <c r="BZ121" s="110">
        <v>1556</v>
      </c>
      <c r="CA121" s="109">
        <v>1632</v>
      </c>
      <c r="CB121" s="110">
        <v>1892</v>
      </c>
      <c r="CC121" s="110">
        <v>1937</v>
      </c>
      <c r="CD121" s="111">
        <v>2020</v>
      </c>
      <c r="CE121" s="109">
        <v>0</v>
      </c>
      <c r="CF121" s="110">
        <v>0</v>
      </c>
      <c r="CG121" s="110">
        <v>3316</v>
      </c>
      <c r="CH121" s="111">
        <v>2233</v>
      </c>
      <c r="CI121" s="109">
        <v>1662</v>
      </c>
      <c r="CJ121" s="110">
        <v>2093</v>
      </c>
      <c r="CK121" s="110">
        <v>2949</v>
      </c>
      <c r="CL121" s="111">
        <v>2908</v>
      </c>
      <c r="CM121" s="109">
        <v>2813</v>
      </c>
      <c r="CN121" s="110">
        <v>3303</v>
      </c>
      <c r="CO121" s="110">
        <v>3262</v>
      </c>
      <c r="CP121" s="111">
        <v>2862</v>
      </c>
      <c r="CQ121" s="109">
        <v>3602</v>
      </c>
      <c r="CR121" s="110">
        <v>3506</v>
      </c>
      <c r="CS121" s="110">
        <v>3276</v>
      </c>
      <c r="CT121" s="111">
        <v>3588</v>
      </c>
      <c r="CU121" s="109">
        <v>3586</v>
      </c>
      <c r="CV121" s="110">
        <v>4072</v>
      </c>
      <c r="CW121" s="110"/>
      <c r="CX121" s="111"/>
      <c r="CY121" s="347"/>
      <c r="CZ121" s="347"/>
      <c r="DA121" s="347"/>
      <c r="DB121" s="347"/>
      <c r="DC121" s="347"/>
      <c r="DD121" s="347"/>
      <c r="DE121" s="347"/>
      <c r="DF121" s="347"/>
      <c r="DG121" s="347"/>
      <c r="DH121" s="347"/>
      <c r="DI121" s="347"/>
      <c r="DJ121" s="347"/>
      <c r="DK121" s="347"/>
      <c r="DL121" s="347"/>
      <c r="DM121" s="347"/>
      <c r="DN121" s="347"/>
      <c r="DO121" s="347"/>
    </row>
    <row r="122" spans="1:119" x14ac:dyDescent="0.25">
      <c r="A122" s="225"/>
      <c r="B122" s="292" t="s">
        <v>134</v>
      </c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Y122" s="22"/>
      <c r="BB122" s="23"/>
      <c r="BC122" s="49"/>
      <c r="BD122" s="50"/>
      <c r="BE122" s="50"/>
      <c r="BF122" s="51"/>
      <c r="BG122" s="49"/>
      <c r="BH122" s="50"/>
      <c r="BK122" s="225"/>
      <c r="BL122" s="208"/>
      <c r="BM122" s="208"/>
      <c r="BN122" s="227"/>
      <c r="BO122" s="288"/>
      <c r="BP122" s="208"/>
      <c r="BQ122" s="208"/>
      <c r="BR122" s="208"/>
      <c r="BS122" s="225"/>
      <c r="BT122" s="208"/>
      <c r="BU122" s="208"/>
      <c r="BV122" s="227"/>
      <c r="BW122" s="208"/>
      <c r="BX122" s="208"/>
      <c r="BY122" s="208"/>
      <c r="BZ122" s="208"/>
      <c r="CA122" s="225"/>
      <c r="CB122" s="208"/>
      <c r="CC122" s="208"/>
      <c r="CD122" s="227"/>
      <c r="CE122" s="225"/>
      <c r="CF122" s="208"/>
      <c r="CG122" s="208"/>
      <c r="CH122" s="227"/>
      <c r="CI122" s="225"/>
      <c r="CJ122" s="208"/>
      <c r="CK122" s="208"/>
      <c r="CL122" s="227"/>
      <c r="CM122" s="225"/>
      <c r="CN122" s="208"/>
      <c r="CO122" s="208"/>
      <c r="CP122" s="227"/>
      <c r="CQ122" s="225"/>
      <c r="CR122" s="208"/>
      <c r="CS122" s="208"/>
      <c r="CT122" s="227"/>
      <c r="CU122" s="225"/>
      <c r="CV122" s="208"/>
      <c r="CW122" s="208"/>
      <c r="CX122" s="227"/>
    </row>
    <row r="123" spans="1:119" x14ac:dyDescent="0.25">
      <c r="A123" s="225"/>
      <c r="B123" s="227" t="s">
        <v>59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 t="s">
        <v>60</v>
      </c>
      <c r="N123" s="2"/>
      <c r="O123" s="2"/>
      <c r="P123" s="2"/>
      <c r="Q123" s="2"/>
      <c r="R123" s="2"/>
      <c r="S123" s="2"/>
      <c r="T123" s="4"/>
      <c r="U123" s="30">
        <f>105.3-U124-U125</f>
        <v>59.9</v>
      </c>
      <c r="V123" s="30">
        <f>156.1-V124-V125</f>
        <v>55.5</v>
      </c>
      <c r="W123" s="30">
        <f>124-W124-W125</f>
        <v>65.900000000000006</v>
      </c>
      <c r="X123" s="30">
        <f>207.4-X124-X125</f>
        <v>60</v>
      </c>
      <c r="Y123" s="30">
        <f>133.8-Y124-Y125</f>
        <v>75.000000000000014</v>
      </c>
      <c r="Z123" s="30">
        <f>141.7-Z124-Z125</f>
        <v>74.599999999999994</v>
      </c>
      <c r="AA123" s="15">
        <f>149.8-AA124-AA125</f>
        <v>69.700000000000017</v>
      </c>
      <c r="AB123" s="15">
        <f>151.3-AB124-AB125</f>
        <v>79.100000000000023</v>
      </c>
      <c r="AC123" s="15">
        <f>153.5-AC124-AC125</f>
        <v>92.8</v>
      </c>
      <c r="AD123" s="15">
        <f>146.7-AD124-AD125</f>
        <v>74.699999999999989</v>
      </c>
      <c r="AE123" s="15">
        <f>138.5-AE124-AE125</f>
        <v>71.5</v>
      </c>
      <c r="AF123" s="15">
        <f>190.7-AF124-AF125</f>
        <v>86.299999999999983</v>
      </c>
      <c r="AG123" s="15">
        <f>149.6-AG124-AG125</f>
        <v>94.8</v>
      </c>
      <c r="AH123" s="15">
        <f>156.4-AH124-AH125</f>
        <v>99.300000000000011</v>
      </c>
      <c r="AI123" s="15">
        <f>157.1-AI124-AI125</f>
        <v>110</v>
      </c>
      <c r="AJ123" s="15">
        <f>187.5-AJ124-AJ125</f>
        <v>113.19999999999999</v>
      </c>
      <c r="AK123" s="15">
        <f>144.6-AK124-AK125</f>
        <v>97.5</v>
      </c>
      <c r="AL123" s="15">
        <v>97.6</v>
      </c>
      <c r="AM123" s="15">
        <v>93</v>
      </c>
      <c r="AN123" s="15">
        <v>110.3</v>
      </c>
      <c r="AO123" s="15">
        <v>113.1</v>
      </c>
      <c r="AP123" s="15">
        <v>98.9</v>
      </c>
      <c r="AQ123" s="15">
        <v>99.4</v>
      </c>
      <c r="AR123" s="15">
        <v>115</v>
      </c>
      <c r="AS123" s="15">
        <v>124.2</v>
      </c>
      <c r="AT123" s="15">
        <v>108.9</v>
      </c>
      <c r="AU123" s="15">
        <v>107.4</v>
      </c>
      <c r="AV123" s="15">
        <v>97.2</v>
      </c>
      <c r="AW123" s="15">
        <v>67.8</v>
      </c>
      <c r="AX123" s="15">
        <v>64</v>
      </c>
      <c r="AY123" s="14">
        <v>79.3</v>
      </c>
      <c r="AZ123" s="15">
        <v>112.6</v>
      </c>
      <c r="BA123" s="15">
        <v>115</v>
      </c>
      <c r="BB123" s="16">
        <v>139.19999999999999</v>
      </c>
      <c r="BC123" s="29">
        <v>114.8</v>
      </c>
      <c r="BD123" s="30">
        <v>134.30000000000001</v>
      </c>
      <c r="BE123" s="30">
        <v>135.19999999999999</v>
      </c>
      <c r="BF123" s="31">
        <v>126.1</v>
      </c>
      <c r="BG123" s="29">
        <v>120.4</v>
      </c>
      <c r="BH123" s="30">
        <v>136.6</v>
      </c>
      <c r="BI123" s="30">
        <v>145.5</v>
      </c>
      <c r="BJ123" s="30">
        <v>140.4</v>
      </c>
      <c r="BK123" s="210">
        <v>127.5</v>
      </c>
      <c r="BL123" s="221">
        <v>125.9</v>
      </c>
      <c r="BM123" s="214">
        <v>116.7</v>
      </c>
      <c r="BN123" s="222">
        <v>111.9</v>
      </c>
      <c r="BO123" s="288">
        <v>105.3</v>
      </c>
      <c r="BP123" s="221">
        <v>108</v>
      </c>
      <c r="BQ123" s="221">
        <v>116.4</v>
      </c>
      <c r="BR123" s="221">
        <v>67.2</v>
      </c>
      <c r="BS123" s="210">
        <v>2.1</v>
      </c>
      <c r="BT123" s="221">
        <v>41.6</v>
      </c>
      <c r="BU123" s="221">
        <v>92.4</v>
      </c>
      <c r="BV123" s="222">
        <v>97.2</v>
      </c>
      <c r="BW123" s="214">
        <v>109</v>
      </c>
      <c r="BX123" s="214">
        <v>27</v>
      </c>
      <c r="BY123" s="214">
        <v>82</v>
      </c>
      <c r="BZ123" s="214">
        <v>105</v>
      </c>
      <c r="CA123" s="213">
        <v>123</v>
      </c>
      <c r="CB123" s="214">
        <v>127</v>
      </c>
      <c r="CC123" s="214">
        <v>135</v>
      </c>
      <c r="CD123" s="259">
        <v>112</v>
      </c>
      <c r="CE123" s="213">
        <v>31</v>
      </c>
      <c r="CF123" s="214">
        <v>0</v>
      </c>
      <c r="CG123" s="214">
        <v>90</v>
      </c>
      <c r="CH123" s="259">
        <v>95</v>
      </c>
      <c r="CI123" s="213">
        <v>83</v>
      </c>
      <c r="CJ123" s="214">
        <v>85</v>
      </c>
      <c r="CK123" s="214">
        <v>92</v>
      </c>
      <c r="CL123" s="259">
        <v>64</v>
      </c>
      <c r="CM123" s="213">
        <v>62</v>
      </c>
      <c r="CN123" s="214">
        <v>79</v>
      </c>
      <c r="CO123" s="214">
        <v>55</v>
      </c>
      <c r="CP123" s="259">
        <v>47</v>
      </c>
      <c r="CQ123" s="213">
        <v>51</v>
      </c>
      <c r="CR123" s="214">
        <v>54</v>
      </c>
      <c r="CS123" s="214">
        <v>67</v>
      </c>
      <c r="CT123" s="259">
        <v>79</v>
      </c>
      <c r="CU123" s="213">
        <v>74</v>
      </c>
      <c r="CV123" s="214">
        <v>64</v>
      </c>
      <c r="CW123" s="214"/>
      <c r="CX123" s="259"/>
    </row>
    <row r="124" spans="1:119" x14ac:dyDescent="0.25">
      <c r="A124" s="225"/>
      <c r="B124" s="227" t="s">
        <v>61</v>
      </c>
      <c r="C124" s="5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59" t="s">
        <v>62</v>
      </c>
      <c r="S124" s="59"/>
      <c r="T124" s="59"/>
      <c r="U124" s="59">
        <v>45.4</v>
      </c>
      <c r="V124" s="59">
        <v>100.6</v>
      </c>
      <c r="W124" s="59">
        <v>58.1</v>
      </c>
      <c r="X124" s="59">
        <v>147.4</v>
      </c>
      <c r="Y124" s="59">
        <v>58.8</v>
      </c>
      <c r="Z124" s="59">
        <v>67.099999999999994</v>
      </c>
      <c r="AA124" s="168">
        <v>80.099999999999994</v>
      </c>
      <c r="AB124" s="168">
        <f>91.8-13.4-6.2</f>
        <v>72.199999999999989</v>
      </c>
      <c r="AC124" s="168">
        <v>60.7</v>
      </c>
      <c r="AD124" s="168">
        <v>72</v>
      </c>
      <c r="AE124" s="168">
        <v>67</v>
      </c>
      <c r="AF124" s="168">
        <f>136.9-22.1-10.4</f>
        <v>104.4</v>
      </c>
      <c r="AG124" s="168">
        <v>54.8</v>
      </c>
      <c r="AH124" s="168">
        <v>57.1</v>
      </c>
      <c r="AI124" s="168">
        <v>47.1</v>
      </c>
      <c r="AJ124" s="168">
        <f>74.4-0.1</f>
        <v>74.300000000000011</v>
      </c>
      <c r="AK124" s="168">
        <v>47.1</v>
      </c>
      <c r="AL124" s="15">
        <v>62.4</v>
      </c>
      <c r="AM124" s="15">
        <v>52.2</v>
      </c>
      <c r="AN124" s="15">
        <v>42.1</v>
      </c>
      <c r="AO124" s="15">
        <v>50</v>
      </c>
      <c r="AP124" s="15">
        <v>51.5</v>
      </c>
      <c r="AQ124" s="15">
        <v>30.1</v>
      </c>
      <c r="AR124" s="15">
        <v>73</v>
      </c>
      <c r="AS124" s="15">
        <v>51.3</v>
      </c>
      <c r="AT124" s="15">
        <v>56.3</v>
      </c>
      <c r="AU124" s="15">
        <v>42.1</v>
      </c>
      <c r="AV124" s="15">
        <v>62.7</v>
      </c>
      <c r="AW124" s="15">
        <v>30.9</v>
      </c>
      <c r="AX124" s="15">
        <v>64.900000000000006</v>
      </c>
      <c r="AY124" s="14">
        <v>21</v>
      </c>
      <c r="AZ124" s="15">
        <v>23.2</v>
      </c>
      <c r="BA124" s="15">
        <v>15.9</v>
      </c>
      <c r="BB124" s="16">
        <v>41.8</v>
      </c>
      <c r="BC124" s="29">
        <v>14.6</v>
      </c>
      <c r="BD124" s="30">
        <v>32.1</v>
      </c>
      <c r="BE124" s="30">
        <v>13.4</v>
      </c>
      <c r="BF124" s="31">
        <v>26</v>
      </c>
      <c r="BG124" s="29">
        <v>10.199999999999999</v>
      </c>
      <c r="BH124" s="30">
        <v>21.8</v>
      </c>
      <c r="BI124" s="30">
        <v>17.2</v>
      </c>
      <c r="BJ124" s="30">
        <v>35.6</v>
      </c>
      <c r="BK124" s="210">
        <v>16.3</v>
      </c>
      <c r="BL124" s="221">
        <v>10.3</v>
      </c>
      <c r="BM124" s="214">
        <v>16.100000000000001</v>
      </c>
      <c r="BN124" s="222">
        <v>20.399999999999999</v>
      </c>
      <c r="BO124" s="210">
        <v>9.5</v>
      </c>
      <c r="BP124" s="221">
        <v>14.7</v>
      </c>
      <c r="BQ124" s="221">
        <v>26.6</v>
      </c>
      <c r="BR124" s="221">
        <v>31.8</v>
      </c>
      <c r="BS124" s="210">
        <v>10.6</v>
      </c>
      <c r="BT124" s="221">
        <v>10.4</v>
      </c>
      <c r="BU124" s="221">
        <v>16.54</v>
      </c>
      <c r="BV124" s="222">
        <v>33</v>
      </c>
      <c r="BW124" s="214">
        <v>26</v>
      </c>
      <c r="BX124" s="214">
        <v>9</v>
      </c>
      <c r="BY124" s="214">
        <v>20</v>
      </c>
      <c r="BZ124" s="214">
        <v>38</v>
      </c>
      <c r="CA124" s="213">
        <v>10</v>
      </c>
      <c r="CB124" s="214">
        <v>41</v>
      </c>
      <c r="CC124" s="214">
        <v>45</v>
      </c>
      <c r="CD124" s="259">
        <v>68</v>
      </c>
      <c r="CE124" s="213">
        <v>35</v>
      </c>
      <c r="CF124" s="214">
        <v>32</v>
      </c>
      <c r="CG124" s="214">
        <v>37</v>
      </c>
      <c r="CH124" s="259">
        <v>50</v>
      </c>
      <c r="CI124" s="213">
        <v>14</v>
      </c>
      <c r="CJ124" s="214">
        <v>27</v>
      </c>
      <c r="CK124" s="214">
        <v>16</v>
      </c>
      <c r="CL124" s="259">
        <v>57</v>
      </c>
      <c r="CM124" s="213">
        <v>3</v>
      </c>
      <c r="CN124" s="214">
        <v>5</v>
      </c>
      <c r="CO124" s="214">
        <v>16</v>
      </c>
      <c r="CP124" s="259">
        <v>40</v>
      </c>
      <c r="CQ124" s="213">
        <v>8</v>
      </c>
      <c r="CR124" s="214">
        <v>32</v>
      </c>
      <c r="CS124" s="214">
        <v>26</v>
      </c>
      <c r="CT124" s="259">
        <v>45</v>
      </c>
      <c r="CU124" s="213">
        <v>12</v>
      </c>
      <c r="CV124" s="214">
        <v>28</v>
      </c>
      <c r="CW124" s="214"/>
      <c r="CX124" s="259"/>
    </row>
    <row r="125" spans="1:119" x14ac:dyDescent="0.25">
      <c r="A125" s="225"/>
      <c r="B125" s="227" t="s">
        <v>63</v>
      </c>
      <c r="C125" s="5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15"/>
      <c r="AB125" s="15"/>
      <c r="AC125" s="15"/>
      <c r="AD125" s="15"/>
      <c r="AE125" s="15"/>
      <c r="AF125" s="15"/>
      <c r="AG125" s="15"/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4">
        <v>0</v>
      </c>
      <c r="AZ125" s="15">
        <v>0</v>
      </c>
      <c r="BA125" s="15">
        <v>0</v>
      </c>
      <c r="BB125" s="16">
        <v>0</v>
      </c>
      <c r="BC125" s="29">
        <v>0</v>
      </c>
      <c r="BD125" s="30">
        <v>0</v>
      </c>
      <c r="BE125" s="30">
        <v>0</v>
      </c>
      <c r="BF125" s="31">
        <v>0</v>
      </c>
      <c r="BG125" s="29">
        <v>0</v>
      </c>
      <c r="BH125" s="30">
        <v>0.2</v>
      </c>
      <c r="BI125" s="30">
        <v>0.1</v>
      </c>
      <c r="BJ125" s="30">
        <v>0.4</v>
      </c>
      <c r="BK125" s="210">
        <v>0</v>
      </c>
      <c r="BL125" s="221">
        <v>0.2</v>
      </c>
      <c r="BM125" s="214">
        <v>0</v>
      </c>
      <c r="BN125" s="222">
        <v>0.3</v>
      </c>
      <c r="BO125" s="210">
        <v>0.1</v>
      </c>
      <c r="BP125" s="221">
        <v>0.2</v>
      </c>
      <c r="BQ125" s="221">
        <v>0</v>
      </c>
      <c r="BR125" s="221">
        <v>1.4</v>
      </c>
      <c r="BS125" s="210">
        <v>0.4</v>
      </c>
      <c r="BT125" s="221">
        <v>0.3</v>
      </c>
      <c r="BU125" s="221">
        <v>0.54</v>
      </c>
      <c r="BV125" s="222">
        <v>0.9</v>
      </c>
      <c r="BW125" s="214"/>
      <c r="BX125" s="214"/>
      <c r="BY125" s="214"/>
      <c r="BZ125" s="214"/>
      <c r="CA125" s="213"/>
      <c r="CB125" s="214"/>
      <c r="CC125" s="214">
        <v>2</v>
      </c>
      <c r="CD125" s="259">
        <v>5</v>
      </c>
      <c r="CE125" s="213">
        <v>4</v>
      </c>
      <c r="CF125" s="214">
        <v>0</v>
      </c>
      <c r="CG125" s="214">
        <v>0</v>
      </c>
      <c r="CH125" s="259">
        <v>0</v>
      </c>
      <c r="CI125" s="213">
        <v>0</v>
      </c>
      <c r="CJ125" s="214">
        <v>0</v>
      </c>
      <c r="CK125" s="214">
        <v>0</v>
      </c>
      <c r="CL125" s="259">
        <v>0</v>
      </c>
      <c r="CM125" s="213"/>
      <c r="CN125" s="214"/>
      <c r="CO125" s="214"/>
      <c r="CP125" s="259"/>
      <c r="CQ125" s="213"/>
      <c r="CR125" s="214"/>
      <c r="CS125" s="214"/>
      <c r="CT125" s="259"/>
      <c r="CU125" s="213"/>
      <c r="CV125" s="214"/>
      <c r="CW125" s="214"/>
      <c r="CX125" s="259"/>
    </row>
    <row r="126" spans="1:119" s="1" customFormat="1" x14ac:dyDescent="0.25">
      <c r="A126" s="306"/>
      <c r="B126" s="290" t="s">
        <v>64</v>
      </c>
      <c r="C126" s="179">
        <v>52.3</v>
      </c>
      <c r="D126" s="78">
        <v>67</v>
      </c>
      <c r="E126" s="78">
        <v>77.8</v>
      </c>
      <c r="F126" s="78">
        <v>102.7</v>
      </c>
      <c r="G126" s="78">
        <v>76.599999999999994</v>
      </c>
      <c r="H126" s="78">
        <v>116.5</v>
      </c>
      <c r="I126" s="78">
        <v>77</v>
      </c>
      <c r="J126" s="78">
        <v>82.8</v>
      </c>
      <c r="K126" s="78">
        <v>66.8</v>
      </c>
      <c r="L126" s="78">
        <v>68.5</v>
      </c>
      <c r="M126" s="78">
        <v>58.6</v>
      </c>
      <c r="N126" s="78">
        <v>58.2</v>
      </c>
      <c r="O126" s="78">
        <v>52.8</v>
      </c>
      <c r="P126" s="78">
        <v>51.8</v>
      </c>
      <c r="Q126" s="78">
        <v>44</v>
      </c>
      <c r="R126" s="78">
        <v>54.7</v>
      </c>
      <c r="S126" s="78">
        <v>64.2</v>
      </c>
      <c r="T126" s="78">
        <v>74.5</v>
      </c>
      <c r="U126" s="78">
        <f t="shared" ref="U126:BN126" si="269">+U125+U124+U123</f>
        <v>105.3</v>
      </c>
      <c r="V126" s="78">
        <f t="shared" si="269"/>
        <v>156.1</v>
      </c>
      <c r="W126" s="78">
        <f t="shared" si="269"/>
        <v>124</v>
      </c>
      <c r="X126" s="78">
        <f t="shared" si="269"/>
        <v>207.4</v>
      </c>
      <c r="Y126" s="78">
        <f t="shared" si="269"/>
        <v>133.80000000000001</v>
      </c>
      <c r="Z126" s="78">
        <f t="shared" si="269"/>
        <v>141.69999999999999</v>
      </c>
      <c r="AA126" s="75">
        <f t="shared" si="269"/>
        <v>149.80000000000001</v>
      </c>
      <c r="AB126" s="75">
        <f t="shared" si="269"/>
        <v>151.30000000000001</v>
      </c>
      <c r="AC126" s="75">
        <f t="shared" si="269"/>
        <v>153.5</v>
      </c>
      <c r="AD126" s="75">
        <f t="shared" si="269"/>
        <v>146.69999999999999</v>
      </c>
      <c r="AE126" s="75">
        <f t="shared" si="269"/>
        <v>138.5</v>
      </c>
      <c r="AF126" s="75">
        <f t="shared" si="269"/>
        <v>190.7</v>
      </c>
      <c r="AG126" s="75">
        <f t="shared" si="269"/>
        <v>149.6</v>
      </c>
      <c r="AH126" s="75">
        <f t="shared" si="269"/>
        <v>156.4</v>
      </c>
      <c r="AI126" s="75">
        <f t="shared" si="269"/>
        <v>157.1</v>
      </c>
      <c r="AJ126" s="75">
        <f t="shared" si="269"/>
        <v>187.5</v>
      </c>
      <c r="AK126" s="75">
        <f t="shared" si="269"/>
        <v>144.6</v>
      </c>
      <c r="AL126" s="75">
        <f t="shared" si="269"/>
        <v>160</v>
      </c>
      <c r="AM126" s="75">
        <f t="shared" si="269"/>
        <v>145.19999999999999</v>
      </c>
      <c r="AN126" s="75">
        <f t="shared" si="269"/>
        <v>152.4</v>
      </c>
      <c r="AO126" s="75">
        <f t="shared" si="269"/>
        <v>163.1</v>
      </c>
      <c r="AP126" s="75">
        <f t="shared" si="269"/>
        <v>150.4</v>
      </c>
      <c r="AQ126" s="75">
        <f t="shared" si="269"/>
        <v>129.5</v>
      </c>
      <c r="AR126" s="75">
        <f t="shared" si="269"/>
        <v>188</v>
      </c>
      <c r="AS126" s="75">
        <f t="shared" si="269"/>
        <v>175.5</v>
      </c>
      <c r="AT126" s="75">
        <f t="shared" si="269"/>
        <v>165.2</v>
      </c>
      <c r="AU126" s="75">
        <f t="shared" si="269"/>
        <v>149.5</v>
      </c>
      <c r="AV126" s="75">
        <f t="shared" si="269"/>
        <v>159.9</v>
      </c>
      <c r="AW126" s="75">
        <f t="shared" si="269"/>
        <v>98.699999999999989</v>
      </c>
      <c r="AX126" s="75">
        <f t="shared" si="269"/>
        <v>128.9</v>
      </c>
      <c r="AY126" s="74">
        <f t="shared" si="269"/>
        <v>100.3</v>
      </c>
      <c r="AZ126" s="75">
        <f t="shared" si="269"/>
        <v>135.79999999999998</v>
      </c>
      <c r="BA126" s="75">
        <f t="shared" si="269"/>
        <v>130.9</v>
      </c>
      <c r="BB126" s="76">
        <f t="shared" si="269"/>
        <v>181</v>
      </c>
      <c r="BC126" s="77">
        <f t="shared" si="269"/>
        <v>129.4</v>
      </c>
      <c r="BD126" s="78">
        <f t="shared" si="269"/>
        <v>166.4</v>
      </c>
      <c r="BE126" s="78">
        <f t="shared" si="269"/>
        <v>148.6</v>
      </c>
      <c r="BF126" s="79">
        <f t="shared" si="269"/>
        <v>152.1</v>
      </c>
      <c r="BG126" s="77">
        <f t="shared" si="269"/>
        <v>130.6</v>
      </c>
      <c r="BH126" s="78">
        <f t="shared" si="269"/>
        <v>158.6</v>
      </c>
      <c r="BI126" s="78">
        <f t="shared" si="269"/>
        <v>162.80000000000001</v>
      </c>
      <c r="BJ126" s="78">
        <f t="shared" si="269"/>
        <v>176.4</v>
      </c>
      <c r="BK126" s="115">
        <f t="shared" si="269"/>
        <v>143.80000000000001</v>
      </c>
      <c r="BL126" s="116">
        <f t="shared" si="269"/>
        <v>136.4</v>
      </c>
      <c r="BM126" s="116">
        <f t="shared" si="269"/>
        <v>132.80000000000001</v>
      </c>
      <c r="BN126" s="117">
        <f t="shared" si="269"/>
        <v>132.6</v>
      </c>
      <c r="BO126" s="115">
        <f t="shared" ref="BO126:BV126" si="270">+BO125+BO124+BO123</f>
        <v>114.89999999999999</v>
      </c>
      <c r="BP126" s="116">
        <f t="shared" si="270"/>
        <v>122.9</v>
      </c>
      <c r="BQ126" s="116">
        <f t="shared" si="270"/>
        <v>143</v>
      </c>
      <c r="BR126" s="116">
        <f t="shared" si="270"/>
        <v>100.4</v>
      </c>
      <c r="BS126" s="115">
        <f t="shared" si="270"/>
        <v>13.1</v>
      </c>
      <c r="BT126" s="116">
        <f t="shared" si="270"/>
        <v>52.300000000000004</v>
      </c>
      <c r="BU126" s="116">
        <f t="shared" si="270"/>
        <v>109.48</v>
      </c>
      <c r="BV126" s="117">
        <f t="shared" si="270"/>
        <v>131.1</v>
      </c>
      <c r="BW126" s="110">
        <f t="shared" ref="BW126:BX126" si="271">+BW125+BW124+BW123</f>
        <v>135</v>
      </c>
      <c r="BX126" s="110">
        <f t="shared" si="271"/>
        <v>36</v>
      </c>
      <c r="BY126" s="110">
        <f t="shared" ref="BY126:BZ126" si="272">+BY125+BY124+BY123</f>
        <v>102</v>
      </c>
      <c r="BZ126" s="110">
        <f t="shared" si="272"/>
        <v>143</v>
      </c>
      <c r="CA126" s="109">
        <f t="shared" ref="CA126:CB126" si="273">+CA125+CA124+CA123</f>
        <v>133</v>
      </c>
      <c r="CB126" s="110">
        <f t="shared" si="273"/>
        <v>168</v>
      </c>
      <c r="CC126" s="110">
        <f t="shared" ref="CC126:CF126" si="274">+CC125+CC124+CC123</f>
        <v>182</v>
      </c>
      <c r="CD126" s="111">
        <f t="shared" si="274"/>
        <v>185</v>
      </c>
      <c r="CE126" s="109">
        <f t="shared" si="274"/>
        <v>70</v>
      </c>
      <c r="CF126" s="110">
        <f t="shared" si="274"/>
        <v>32</v>
      </c>
      <c r="CG126" s="110">
        <f t="shared" ref="CG126:CJ126" si="275">+CG125+CG124+CG123</f>
        <v>127</v>
      </c>
      <c r="CH126" s="111">
        <f t="shared" si="275"/>
        <v>145</v>
      </c>
      <c r="CI126" s="109">
        <f t="shared" si="275"/>
        <v>97</v>
      </c>
      <c r="CJ126" s="110">
        <f t="shared" si="275"/>
        <v>112</v>
      </c>
      <c r="CK126" s="110">
        <f t="shared" ref="CK126:CP126" si="276">+CK125+CK124+CK123</f>
        <v>108</v>
      </c>
      <c r="CL126" s="111">
        <f t="shared" si="276"/>
        <v>121</v>
      </c>
      <c r="CM126" s="109">
        <f t="shared" si="276"/>
        <v>65</v>
      </c>
      <c r="CN126" s="110">
        <f t="shared" si="276"/>
        <v>84</v>
      </c>
      <c r="CO126" s="110">
        <f t="shared" si="276"/>
        <v>71</v>
      </c>
      <c r="CP126" s="111">
        <f t="shared" si="276"/>
        <v>87</v>
      </c>
      <c r="CQ126" s="109">
        <f t="shared" ref="CQ126:CT126" si="277">+CQ125+CQ124+CQ123</f>
        <v>59</v>
      </c>
      <c r="CR126" s="110">
        <f t="shared" si="277"/>
        <v>86</v>
      </c>
      <c r="CS126" s="110">
        <f t="shared" si="277"/>
        <v>93</v>
      </c>
      <c r="CT126" s="111">
        <f t="shared" si="277"/>
        <v>124</v>
      </c>
      <c r="CU126" s="109">
        <f t="shared" ref="CU126:CX126" si="278">+CU125+CU124+CU123</f>
        <v>86</v>
      </c>
      <c r="CV126" s="110">
        <f t="shared" si="278"/>
        <v>92</v>
      </c>
      <c r="CW126" s="110">
        <f t="shared" si="278"/>
        <v>0</v>
      </c>
      <c r="CX126" s="111">
        <f t="shared" si="278"/>
        <v>0</v>
      </c>
      <c r="CY126" s="347"/>
      <c r="CZ126" s="347"/>
      <c r="DA126" s="347"/>
      <c r="DB126" s="347"/>
      <c r="DC126" s="347"/>
      <c r="DD126" s="347"/>
      <c r="DE126" s="347"/>
      <c r="DF126" s="347"/>
      <c r="DG126" s="347"/>
      <c r="DH126" s="347"/>
      <c r="DI126" s="347"/>
      <c r="DJ126" s="347"/>
      <c r="DK126" s="347"/>
      <c r="DL126" s="347"/>
      <c r="DM126" s="347"/>
      <c r="DN126" s="347"/>
      <c r="DO126" s="347"/>
    </row>
    <row r="127" spans="1:119" x14ac:dyDescent="0.25">
      <c r="A127" s="225"/>
      <c r="B127" s="227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Y127" s="22"/>
      <c r="BB127" s="23"/>
      <c r="BC127" s="49"/>
      <c r="BD127" s="50"/>
      <c r="BE127" s="50"/>
      <c r="BF127" s="51"/>
      <c r="BG127" s="49"/>
      <c r="BH127" s="50"/>
      <c r="BK127" s="225"/>
      <c r="BL127" s="208"/>
      <c r="BM127" s="208"/>
      <c r="BN127" s="227"/>
      <c r="BO127" s="225"/>
      <c r="BP127" s="208"/>
      <c r="BQ127" s="208"/>
      <c r="BR127" s="208"/>
      <c r="BS127" s="225"/>
      <c r="BT127" s="208"/>
      <c r="BU127" s="208"/>
      <c r="BV127" s="227"/>
      <c r="BW127" s="208"/>
      <c r="BX127" s="208"/>
      <c r="BY127" s="208"/>
      <c r="BZ127" s="208"/>
      <c r="CA127" s="225"/>
      <c r="CB127" s="208"/>
      <c r="CC127" s="208"/>
      <c r="CD127" s="227"/>
      <c r="CE127" s="225"/>
      <c r="CF127" s="208"/>
      <c r="CG127" s="208"/>
      <c r="CH127" s="227"/>
      <c r="CI127" s="225"/>
      <c r="CJ127" s="208"/>
      <c r="CK127" s="208"/>
      <c r="CL127" s="227"/>
      <c r="CM127" s="225"/>
      <c r="CN127" s="208"/>
      <c r="CO127" s="208"/>
      <c r="CP127" s="227"/>
      <c r="CQ127" s="225"/>
      <c r="CR127" s="208"/>
      <c r="CS127" s="208"/>
      <c r="CT127" s="227"/>
      <c r="CU127" s="225"/>
      <c r="CV127" s="208"/>
      <c r="CW127" s="208"/>
      <c r="CX127" s="227"/>
    </row>
    <row r="128" spans="1:119" x14ac:dyDescent="0.25">
      <c r="A128" s="225"/>
      <c r="B128" s="292" t="s">
        <v>135</v>
      </c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60" t="s">
        <v>65</v>
      </c>
      <c r="V128" s="60"/>
      <c r="W128" s="60"/>
      <c r="X128" s="32"/>
      <c r="Y128" s="32"/>
      <c r="Z128" s="32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10"/>
      <c r="AZ128" s="8"/>
      <c r="BA128" s="8"/>
      <c r="BB128" s="9"/>
      <c r="BC128" s="34"/>
      <c r="BD128" s="32"/>
      <c r="BE128" s="32"/>
      <c r="BF128" s="33"/>
      <c r="BG128" s="34"/>
      <c r="BH128" s="32"/>
      <c r="BI128" s="58"/>
      <c r="BJ128" s="58"/>
      <c r="BK128" s="225"/>
      <c r="BL128" s="208"/>
      <c r="BM128" s="208"/>
      <c r="BN128" s="227"/>
      <c r="BO128" s="225"/>
      <c r="BP128" s="208"/>
      <c r="BQ128" s="208"/>
      <c r="BR128" s="208"/>
      <c r="BS128" s="225"/>
      <c r="BT128" s="208"/>
      <c r="BU128" s="208"/>
      <c r="BV128" s="227"/>
      <c r="BW128" s="208"/>
      <c r="BX128" s="208"/>
      <c r="BY128" s="208"/>
      <c r="BZ128" s="208"/>
      <c r="CA128" s="225"/>
      <c r="CB128" s="208"/>
      <c r="CC128" s="208"/>
      <c r="CD128" s="227"/>
      <c r="CE128" s="225"/>
      <c r="CF128" s="208"/>
      <c r="CG128" s="208"/>
      <c r="CH128" s="227"/>
      <c r="CI128" s="225"/>
      <c r="CJ128" s="208"/>
      <c r="CK128" s="208"/>
      <c r="CL128" s="227"/>
      <c r="CM128" s="225"/>
      <c r="CN128" s="208"/>
      <c r="CO128" s="208"/>
      <c r="CP128" s="227"/>
      <c r="CQ128" s="225"/>
      <c r="CR128" s="208"/>
      <c r="CS128" s="208"/>
      <c r="CT128" s="227"/>
      <c r="CU128" s="225"/>
      <c r="CV128" s="208"/>
      <c r="CW128" s="208"/>
      <c r="CX128" s="227"/>
    </row>
    <row r="129" spans="1:119" x14ac:dyDescent="0.25">
      <c r="A129" s="225"/>
      <c r="B129" s="250" t="s">
        <v>66</v>
      </c>
      <c r="C129" s="30">
        <v>577.9</v>
      </c>
      <c r="D129" s="30">
        <v>562</v>
      </c>
      <c r="E129" s="30">
        <v>510.1</v>
      </c>
      <c r="F129" s="30">
        <v>506.9</v>
      </c>
      <c r="G129" s="30">
        <v>495.4</v>
      </c>
      <c r="H129" s="30">
        <v>461</v>
      </c>
      <c r="I129" s="30">
        <v>428.5</v>
      </c>
      <c r="J129" s="30">
        <v>418.8</v>
      </c>
      <c r="K129" s="30">
        <v>430.1</v>
      </c>
      <c r="L129" s="30">
        <v>388.3</v>
      </c>
      <c r="M129" s="30">
        <v>385.4</v>
      </c>
      <c r="N129" s="30">
        <v>413.6</v>
      </c>
      <c r="O129" s="30">
        <v>393.8</v>
      </c>
      <c r="P129" s="30">
        <v>449.9</v>
      </c>
      <c r="Q129" s="30">
        <v>396.4</v>
      </c>
      <c r="R129" s="30">
        <v>487.8</v>
      </c>
      <c r="S129" s="30">
        <v>524.4</v>
      </c>
      <c r="T129" s="30">
        <v>594</v>
      </c>
      <c r="U129" s="30">
        <v>662.3</v>
      </c>
      <c r="V129" s="30">
        <v>666.8</v>
      </c>
      <c r="W129" s="30">
        <v>562.9</v>
      </c>
      <c r="X129" s="30">
        <v>591.5</v>
      </c>
      <c r="Y129" s="30">
        <v>578.20000000000005</v>
      </c>
      <c r="Z129" s="30">
        <v>629.6</v>
      </c>
      <c r="AA129" s="15">
        <v>575.79999999999995</v>
      </c>
      <c r="AB129" s="15">
        <v>831.6</v>
      </c>
      <c r="AC129" s="15">
        <v>683</v>
      </c>
      <c r="AD129" s="15">
        <v>851.9</v>
      </c>
      <c r="AE129" s="15">
        <v>720.3</v>
      </c>
      <c r="AF129" s="15">
        <v>800</v>
      </c>
      <c r="AG129" s="15">
        <v>826.3</v>
      </c>
      <c r="AH129" s="15">
        <v>877.7</v>
      </c>
      <c r="AI129" s="15">
        <v>688.2</v>
      </c>
      <c r="AJ129" s="15">
        <v>826.5</v>
      </c>
      <c r="AK129" s="15">
        <v>921</v>
      </c>
      <c r="AL129" s="15">
        <v>928.7</v>
      </c>
      <c r="AM129" s="15">
        <v>723.3</v>
      </c>
      <c r="AN129" s="15">
        <v>1010.1</v>
      </c>
      <c r="AO129" s="15">
        <v>1055.7</v>
      </c>
      <c r="AP129" s="15">
        <v>1221.2</v>
      </c>
      <c r="AQ129" s="15">
        <v>1032</v>
      </c>
      <c r="AR129" s="15">
        <v>1047.5</v>
      </c>
      <c r="AS129" s="15">
        <v>1055.9000000000001</v>
      </c>
      <c r="AT129" s="15">
        <v>777.6</v>
      </c>
      <c r="AU129" s="15">
        <v>874.8</v>
      </c>
      <c r="AV129" s="15">
        <v>1001.5</v>
      </c>
      <c r="AW129" s="15">
        <v>1158.4000000000001</v>
      </c>
      <c r="AX129" s="15">
        <v>1179.4000000000001</v>
      </c>
      <c r="AY129" s="14">
        <v>1075.9000000000001</v>
      </c>
      <c r="AZ129" s="15">
        <f>2184.6-AY129</f>
        <v>1108.6999999999998</v>
      </c>
      <c r="BA129" s="15">
        <v>1158.5999999999999</v>
      </c>
      <c r="BB129" s="16">
        <v>1223.0999999999999</v>
      </c>
      <c r="BC129" s="29">
        <v>829.4</v>
      </c>
      <c r="BD129" s="30">
        <f>2079.2-BC129</f>
        <v>1249.7999999999997</v>
      </c>
      <c r="BE129" s="30">
        <v>1342.9</v>
      </c>
      <c r="BF129" s="31">
        <v>1393.4</v>
      </c>
      <c r="BG129" s="29">
        <v>1367.2</v>
      </c>
      <c r="BH129" s="30">
        <v>1559.2</v>
      </c>
      <c r="BI129" s="15">
        <v>1527.2</v>
      </c>
      <c r="BJ129" s="15">
        <f>1430.3</f>
        <v>1430.3</v>
      </c>
      <c r="BK129" s="210">
        <v>1180.5999999999999</v>
      </c>
      <c r="BL129" s="221">
        <v>1174.0999999999999</v>
      </c>
      <c r="BM129" s="221">
        <v>1303.4000000000001</v>
      </c>
      <c r="BN129" s="222">
        <v>1217.5999999999999</v>
      </c>
      <c r="BO129" s="210">
        <v>974.4</v>
      </c>
      <c r="BP129" s="221">
        <v>1331.1</v>
      </c>
      <c r="BQ129" s="221">
        <v>1224.5999999999999</v>
      </c>
      <c r="BR129" s="221">
        <v>1071.2</v>
      </c>
      <c r="BS129" s="210">
        <v>428.9</v>
      </c>
      <c r="BT129" s="221">
        <v>620.5</v>
      </c>
      <c r="BU129" s="221">
        <v>1307.4000000000001</v>
      </c>
      <c r="BV129" s="222">
        <v>1441.8</v>
      </c>
      <c r="BW129" s="213">
        <v>1250</v>
      </c>
      <c r="BX129" s="214">
        <v>685</v>
      </c>
      <c r="BY129" s="214">
        <v>1263</v>
      </c>
      <c r="BZ129" s="214">
        <v>1466</v>
      </c>
      <c r="CA129" s="213">
        <v>1058</v>
      </c>
      <c r="CB129" s="214">
        <v>1237</v>
      </c>
      <c r="CC129" s="214">
        <v>1618</v>
      </c>
      <c r="CD129" s="259">
        <v>1431</v>
      </c>
      <c r="CE129" s="213">
        <v>147</v>
      </c>
      <c r="CF129" s="214">
        <v>102</v>
      </c>
      <c r="CG129" s="214">
        <v>1185</v>
      </c>
      <c r="CH129" s="259">
        <v>1247</v>
      </c>
      <c r="CI129" s="213">
        <v>1255</v>
      </c>
      <c r="CJ129" s="214">
        <v>1316</v>
      </c>
      <c r="CK129" s="214">
        <v>1072</v>
      </c>
      <c r="CL129" s="259">
        <v>1161</v>
      </c>
      <c r="CM129" s="213">
        <v>1251</v>
      </c>
      <c r="CN129" s="214">
        <v>1295</v>
      </c>
      <c r="CO129" s="214">
        <v>1216</v>
      </c>
      <c r="CP129" s="259">
        <v>1567</v>
      </c>
      <c r="CQ129" s="213">
        <v>1519</v>
      </c>
      <c r="CR129" s="214">
        <v>1413</v>
      </c>
      <c r="CS129" s="214">
        <v>1515</v>
      </c>
      <c r="CT129" s="259">
        <v>1832</v>
      </c>
      <c r="CU129" s="213">
        <v>2300</v>
      </c>
      <c r="CV129" s="214">
        <v>1938</v>
      </c>
      <c r="CW129" s="214"/>
      <c r="CX129" s="259"/>
    </row>
    <row r="130" spans="1:119" x14ac:dyDescent="0.25">
      <c r="A130" s="225"/>
      <c r="B130" s="250" t="s">
        <v>132</v>
      </c>
      <c r="C130" s="5">
        <v>-304.2</v>
      </c>
      <c r="D130" s="5">
        <v>-316.10000000000002</v>
      </c>
      <c r="E130" s="5">
        <v>-340.7</v>
      </c>
      <c r="F130" s="5">
        <v>-354</v>
      </c>
      <c r="G130" s="5">
        <v>-364.5</v>
      </c>
      <c r="H130" s="5">
        <v>-380.4</v>
      </c>
      <c r="I130" s="5">
        <v>-400.5</v>
      </c>
      <c r="J130" s="5">
        <v>-400.6</v>
      </c>
      <c r="K130" s="5">
        <v>-389.7</v>
      </c>
      <c r="L130" s="5">
        <v>-395.3</v>
      </c>
      <c r="M130" s="5">
        <v>-405.8</v>
      </c>
      <c r="N130" s="5">
        <v>-412.9</v>
      </c>
      <c r="O130" s="5">
        <v>-401.5</v>
      </c>
      <c r="P130" s="5">
        <v>-410.5</v>
      </c>
      <c r="Q130" s="5">
        <v>-390.9</v>
      </c>
      <c r="R130" s="5">
        <v>-409.2</v>
      </c>
      <c r="S130" s="5">
        <v>-408.8</v>
      </c>
      <c r="T130" s="5">
        <v>-405.8</v>
      </c>
      <c r="U130" s="5">
        <v>-378.5</v>
      </c>
      <c r="V130" s="5">
        <v>-392.1</v>
      </c>
      <c r="W130" s="5">
        <v>-387.9</v>
      </c>
      <c r="X130" s="5">
        <v>-392.2</v>
      </c>
      <c r="Y130" s="5">
        <v>-415.5</v>
      </c>
      <c r="Z130" s="5">
        <v>-420.2</v>
      </c>
      <c r="AA130" s="6">
        <v>-429.4</v>
      </c>
      <c r="AB130" s="6">
        <v>-459.6</v>
      </c>
      <c r="AC130" s="6">
        <v>-498.6</v>
      </c>
      <c r="AD130" s="6">
        <v>-503.1</v>
      </c>
      <c r="AE130" s="6">
        <v>-507.7</v>
      </c>
      <c r="AF130" s="6">
        <v>-528.20000000000005</v>
      </c>
      <c r="AG130" s="6">
        <v>-591.4</v>
      </c>
      <c r="AH130" s="6">
        <v>-576.1</v>
      </c>
      <c r="AI130" s="6">
        <v>-550.20000000000005</v>
      </c>
      <c r="AJ130" s="6">
        <v>-555.20000000000005</v>
      </c>
      <c r="AK130" s="6">
        <v>-627.20000000000005</v>
      </c>
      <c r="AL130" s="6">
        <v>-606.29999999999995</v>
      </c>
      <c r="AM130" s="6">
        <v>-549.4</v>
      </c>
      <c r="AN130" s="6">
        <v>-625.20000000000005</v>
      </c>
      <c r="AO130" s="6">
        <v>-628.29999999999995</v>
      </c>
      <c r="AP130" s="6">
        <v>-605.9</v>
      </c>
      <c r="AQ130" s="6">
        <v>-630.20000000000005</v>
      </c>
      <c r="AR130" s="6">
        <v>-673.2</v>
      </c>
      <c r="AS130" s="6">
        <v>-714.8</v>
      </c>
      <c r="AT130" s="6">
        <v>-618.5</v>
      </c>
      <c r="AU130" s="6">
        <v>-701.8</v>
      </c>
      <c r="AV130" s="6">
        <v>-736.9</v>
      </c>
      <c r="AW130" s="6">
        <v>-776.3</v>
      </c>
      <c r="AX130" s="6">
        <v>-788.8</v>
      </c>
      <c r="AY130" s="17">
        <v>-776.1</v>
      </c>
      <c r="AZ130" s="6">
        <f>-1584.2-AY130</f>
        <v>-808.1</v>
      </c>
      <c r="BA130" s="6">
        <v>-825.3</v>
      </c>
      <c r="BB130" s="18">
        <v>-794.5</v>
      </c>
      <c r="BC130" s="38">
        <v>-759.4</v>
      </c>
      <c r="BD130" s="5">
        <f>-1608.4-BC130</f>
        <v>-849.00000000000011</v>
      </c>
      <c r="BE130" s="5">
        <v>-908.3</v>
      </c>
      <c r="BF130" s="39">
        <v>-874.3</v>
      </c>
      <c r="BG130" s="38">
        <v>-878.2</v>
      </c>
      <c r="BH130" s="5">
        <v>-949.9</v>
      </c>
      <c r="BI130" s="5">
        <v>-957.8</v>
      </c>
      <c r="BJ130" s="5">
        <f>-967.5</f>
        <v>-967.5</v>
      </c>
      <c r="BK130" s="276">
        <v>-950.7</v>
      </c>
      <c r="BL130" s="244">
        <v>-1004.2</v>
      </c>
      <c r="BM130" s="244">
        <v>-1039.3</v>
      </c>
      <c r="BN130" s="315">
        <v>-958.4</v>
      </c>
      <c r="BO130" s="276">
        <v>-936</v>
      </c>
      <c r="BP130" s="244">
        <v>-1029.8</v>
      </c>
      <c r="BQ130" s="244">
        <v>-1030.4000000000001</v>
      </c>
      <c r="BR130" s="244">
        <v>-914.6</v>
      </c>
      <c r="BS130" s="276">
        <v>-797.7</v>
      </c>
      <c r="BT130" s="244">
        <v>-849.1</v>
      </c>
      <c r="BU130" s="244">
        <v>-949.69999999999993</v>
      </c>
      <c r="BV130" s="315">
        <v>-1072.8</v>
      </c>
      <c r="BW130" s="361">
        <v>-1023</v>
      </c>
      <c r="BX130" s="417">
        <v>-695</v>
      </c>
      <c r="BY130" s="417">
        <v>-960</v>
      </c>
      <c r="BZ130" s="417">
        <v>-1035</v>
      </c>
      <c r="CA130" s="361">
        <v>-917</v>
      </c>
      <c r="CB130" s="417">
        <v>-1088</v>
      </c>
      <c r="CC130" s="417">
        <v>-1371</v>
      </c>
      <c r="CD130" s="431">
        <v>-1189</v>
      </c>
      <c r="CE130" s="361">
        <v>-581</v>
      </c>
      <c r="CF130" s="417">
        <v>-701</v>
      </c>
      <c r="CG130" s="417">
        <v>-1624</v>
      </c>
      <c r="CH130" s="431">
        <v>-1005</v>
      </c>
      <c r="CI130" s="361">
        <v>-1087</v>
      </c>
      <c r="CJ130" s="417">
        <v>-1038</v>
      </c>
      <c r="CK130" s="417">
        <v>-1101</v>
      </c>
      <c r="CL130" s="431">
        <v>-833</v>
      </c>
      <c r="CM130" s="361">
        <v>-1011</v>
      </c>
      <c r="CN130" s="417">
        <v>-1121</v>
      </c>
      <c r="CO130" s="417">
        <v>-1080</v>
      </c>
      <c r="CP130" s="431">
        <v>-1048</v>
      </c>
      <c r="CQ130" s="361">
        <v>-1035</v>
      </c>
      <c r="CR130" s="417">
        <v>-1031</v>
      </c>
      <c r="CS130" s="417">
        <v>-992</v>
      </c>
      <c r="CT130" s="431">
        <v>-1172</v>
      </c>
      <c r="CU130" s="361">
        <v>-1300</v>
      </c>
      <c r="CV130" s="417">
        <v>-1310</v>
      </c>
      <c r="CW130" s="417"/>
      <c r="CX130" s="431"/>
    </row>
    <row r="131" spans="1:119" x14ac:dyDescent="0.25">
      <c r="A131" s="225"/>
      <c r="B131" s="250"/>
      <c r="C131" s="30">
        <f>+C130+C129</f>
        <v>273.7</v>
      </c>
      <c r="D131" s="30">
        <f>+D130+D129</f>
        <v>245.89999999999998</v>
      </c>
      <c r="E131" s="30">
        <f t="shared" ref="E131:BK131" si="279">+E130+E129</f>
        <v>169.40000000000003</v>
      </c>
      <c r="F131" s="30">
        <f t="shared" si="279"/>
        <v>152.89999999999998</v>
      </c>
      <c r="G131" s="30">
        <f t="shared" si="279"/>
        <v>130.89999999999998</v>
      </c>
      <c r="H131" s="30">
        <f t="shared" si="279"/>
        <v>80.600000000000023</v>
      </c>
      <c r="I131" s="30">
        <f t="shared" si="279"/>
        <v>28</v>
      </c>
      <c r="J131" s="30">
        <f t="shared" si="279"/>
        <v>18.199999999999989</v>
      </c>
      <c r="K131" s="30">
        <f t="shared" si="279"/>
        <v>40.400000000000034</v>
      </c>
      <c r="L131" s="30">
        <f t="shared" si="279"/>
        <v>-7</v>
      </c>
      <c r="M131" s="30">
        <f t="shared" si="279"/>
        <v>-20.400000000000034</v>
      </c>
      <c r="N131" s="30">
        <f t="shared" si="279"/>
        <v>0.70000000000004547</v>
      </c>
      <c r="O131" s="30">
        <f t="shared" si="279"/>
        <v>-7.6999999999999886</v>
      </c>
      <c r="P131" s="30">
        <f t="shared" si="279"/>
        <v>39.399999999999977</v>
      </c>
      <c r="Q131" s="30">
        <f t="shared" si="279"/>
        <v>5.5</v>
      </c>
      <c r="R131" s="30">
        <f t="shared" si="279"/>
        <v>78.600000000000023</v>
      </c>
      <c r="S131" s="30">
        <f t="shared" si="279"/>
        <v>115.59999999999997</v>
      </c>
      <c r="T131" s="30">
        <f t="shared" si="279"/>
        <v>188.2</v>
      </c>
      <c r="U131" s="30">
        <f t="shared" si="279"/>
        <v>283.79999999999995</v>
      </c>
      <c r="V131" s="30">
        <f t="shared" si="279"/>
        <v>274.69999999999993</v>
      </c>
      <c r="W131" s="30">
        <f t="shared" si="279"/>
        <v>175</v>
      </c>
      <c r="X131" s="30">
        <f t="shared" si="279"/>
        <v>199.3</v>
      </c>
      <c r="Y131" s="30">
        <f t="shared" si="279"/>
        <v>162.70000000000005</v>
      </c>
      <c r="Z131" s="30">
        <f t="shared" si="279"/>
        <v>209.40000000000003</v>
      </c>
      <c r="AA131" s="15">
        <f t="shared" si="279"/>
        <v>146.39999999999998</v>
      </c>
      <c r="AB131" s="15">
        <f t="shared" si="279"/>
        <v>372</v>
      </c>
      <c r="AC131" s="15">
        <f t="shared" si="279"/>
        <v>184.39999999999998</v>
      </c>
      <c r="AD131" s="15">
        <f t="shared" si="279"/>
        <v>348.79999999999995</v>
      </c>
      <c r="AE131" s="15">
        <f t="shared" si="279"/>
        <v>212.59999999999997</v>
      </c>
      <c r="AF131" s="15">
        <f t="shared" si="279"/>
        <v>271.79999999999995</v>
      </c>
      <c r="AG131" s="15">
        <f t="shared" si="279"/>
        <v>234.89999999999998</v>
      </c>
      <c r="AH131" s="15">
        <f t="shared" si="279"/>
        <v>301.60000000000002</v>
      </c>
      <c r="AI131" s="15">
        <f t="shared" si="279"/>
        <v>138</v>
      </c>
      <c r="AJ131" s="15">
        <f t="shared" si="279"/>
        <v>271.29999999999995</v>
      </c>
      <c r="AK131" s="15">
        <f t="shared" si="279"/>
        <v>293.79999999999995</v>
      </c>
      <c r="AL131" s="15">
        <f t="shared" si="279"/>
        <v>322.40000000000009</v>
      </c>
      <c r="AM131" s="15">
        <f t="shared" si="279"/>
        <v>173.89999999999998</v>
      </c>
      <c r="AN131" s="15">
        <f t="shared" si="279"/>
        <v>384.9</v>
      </c>
      <c r="AO131" s="15">
        <f t="shared" si="279"/>
        <v>427.40000000000009</v>
      </c>
      <c r="AP131" s="15">
        <f t="shared" si="279"/>
        <v>615.30000000000007</v>
      </c>
      <c r="AQ131" s="15">
        <f t="shared" si="279"/>
        <v>401.79999999999995</v>
      </c>
      <c r="AR131" s="15">
        <f t="shared" si="279"/>
        <v>374.29999999999995</v>
      </c>
      <c r="AS131" s="15">
        <f t="shared" si="279"/>
        <v>341.10000000000014</v>
      </c>
      <c r="AT131" s="15">
        <f t="shared" si="279"/>
        <v>159.10000000000002</v>
      </c>
      <c r="AU131" s="15">
        <f t="shared" si="279"/>
        <v>173</v>
      </c>
      <c r="AV131" s="15">
        <f t="shared" si="279"/>
        <v>264.60000000000002</v>
      </c>
      <c r="AW131" s="15">
        <f t="shared" si="279"/>
        <v>382.10000000000014</v>
      </c>
      <c r="AX131" s="15">
        <f t="shared" si="279"/>
        <v>390.60000000000014</v>
      </c>
      <c r="AY131" s="14">
        <f t="shared" si="279"/>
        <v>299.80000000000007</v>
      </c>
      <c r="AZ131" s="15">
        <f t="shared" si="279"/>
        <v>300.5999999999998</v>
      </c>
      <c r="BA131" s="15">
        <f t="shared" si="279"/>
        <v>333.29999999999995</v>
      </c>
      <c r="BB131" s="16">
        <f t="shared" si="279"/>
        <v>428.59999999999991</v>
      </c>
      <c r="BC131" s="29">
        <f t="shared" si="279"/>
        <v>70</v>
      </c>
      <c r="BD131" s="30">
        <f t="shared" si="279"/>
        <v>400.79999999999961</v>
      </c>
      <c r="BE131" s="30">
        <f t="shared" si="279"/>
        <v>434.60000000000014</v>
      </c>
      <c r="BF131" s="31">
        <f t="shared" si="279"/>
        <v>519.10000000000014</v>
      </c>
      <c r="BG131" s="29">
        <f t="shared" si="279"/>
        <v>489</v>
      </c>
      <c r="BH131" s="30">
        <f t="shared" si="279"/>
        <v>609.30000000000007</v>
      </c>
      <c r="BI131" s="30">
        <f t="shared" si="279"/>
        <v>569.40000000000009</v>
      </c>
      <c r="BJ131" s="30">
        <f t="shared" si="279"/>
        <v>462.79999999999995</v>
      </c>
      <c r="BK131" s="210">
        <f t="shared" si="279"/>
        <v>229.89999999999986</v>
      </c>
      <c r="BL131" s="221">
        <f t="shared" ref="BL131:BS131" si="280">+BL130+BL129</f>
        <v>169.89999999999986</v>
      </c>
      <c r="BM131" s="221">
        <f t="shared" si="280"/>
        <v>264.10000000000014</v>
      </c>
      <c r="BN131" s="222">
        <f t="shared" si="280"/>
        <v>259.19999999999993</v>
      </c>
      <c r="BO131" s="210">
        <f t="shared" si="280"/>
        <v>38.399999999999977</v>
      </c>
      <c r="BP131" s="221">
        <f t="shared" si="280"/>
        <v>301.29999999999995</v>
      </c>
      <c r="BQ131" s="221">
        <f t="shared" si="280"/>
        <v>194.19999999999982</v>
      </c>
      <c r="BR131" s="221">
        <f t="shared" si="280"/>
        <v>156.60000000000002</v>
      </c>
      <c r="BS131" s="210">
        <f t="shared" si="280"/>
        <v>-368.80000000000007</v>
      </c>
      <c r="BT131" s="221">
        <f t="shared" ref="BT131:BY131" si="281">+BT130+BT129</f>
        <v>-228.60000000000002</v>
      </c>
      <c r="BU131" s="221">
        <f t="shared" si="281"/>
        <v>357.70000000000016</v>
      </c>
      <c r="BV131" s="222">
        <f t="shared" si="281"/>
        <v>369</v>
      </c>
      <c r="BW131" s="213">
        <f t="shared" si="281"/>
        <v>227</v>
      </c>
      <c r="BX131" s="214">
        <f t="shared" si="281"/>
        <v>-10</v>
      </c>
      <c r="BY131" s="214">
        <f t="shared" si="281"/>
        <v>303</v>
      </c>
      <c r="BZ131" s="214">
        <f t="shared" ref="BZ131:CB131" si="282">+BZ130+BZ129</f>
        <v>431</v>
      </c>
      <c r="CA131" s="213">
        <f t="shared" si="282"/>
        <v>141</v>
      </c>
      <c r="CB131" s="214">
        <f t="shared" si="282"/>
        <v>149</v>
      </c>
      <c r="CC131" s="214">
        <f t="shared" ref="CC131:CF131" si="283">+CC130+CC129</f>
        <v>247</v>
      </c>
      <c r="CD131" s="259">
        <f t="shared" si="283"/>
        <v>242</v>
      </c>
      <c r="CE131" s="213">
        <f t="shared" si="283"/>
        <v>-434</v>
      </c>
      <c r="CF131" s="214">
        <f t="shared" si="283"/>
        <v>-599</v>
      </c>
      <c r="CG131" s="214">
        <f t="shared" ref="CG131:CJ131" si="284">+CG130+CG129</f>
        <v>-439</v>
      </c>
      <c r="CH131" s="259">
        <f t="shared" si="284"/>
        <v>242</v>
      </c>
      <c r="CI131" s="213">
        <f t="shared" si="284"/>
        <v>168</v>
      </c>
      <c r="CJ131" s="214">
        <f t="shared" si="284"/>
        <v>278</v>
      </c>
      <c r="CK131" s="214">
        <f t="shared" ref="CK131:CP131" si="285">+CK130+CK129</f>
        <v>-29</v>
      </c>
      <c r="CL131" s="259">
        <f t="shared" si="285"/>
        <v>328</v>
      </c>
      <c r="CM131" s="213">
        <f t="shared" si="285"/>
        <v>240</v>
      </c>
      <c r="CN131" s="214">
        <f t="shared" si="285"/>
        <v>174</v>
      </c>
      <c r="CO131" s="214">
        <f t="shared" si="285"/>
        <v>136</v>
      </c>
      <c r="CP131" s="259">
        <f t="shared" si="285"/>
        <v>519</v>
      </c>
      <c r="CQ131" s="213">
        <f t="shared" ref="CQ131:CT131" si="286">+CQ130+CQ129</f>
        <v>484</v>
      </c>
      <c r="CR131" s="214">
        <f t="shared" si="286"/>
        <v>382</v>
      </c>
      <c r="CS131" s="214">
        <f t="shared" si="286"/>
        <v>523</v>
      </c>
      <c r="CT131" s="259">
        <f t="shared" si="286"/>
        <v>660</v>
      </c>
      <c r="CU131" s="213">
        <f t="shared" ref="CU131:CX131" si="287">+CU130+CU129</f>
        <v>1000</v>
      </c>
      <c r="CV131" s="214">
        <f t="shared" si="287"/>
        <v>628</v>
      </c>
      <c r="CW131" s="214">
        <f t="shared" si="287"/>
        <v>0</v>
      </c>
      <c r="CX131" s="259">
        <f t="shared" si="287"/>
        <v>0</v>
      </c>
    </row>
    <row r="132" spans="1:119" x14ac:dyDescent="0.25">
      <c r="A132" s="225"/>
      <c r="B132" s="250" t="s">
        <v>67</v>
      </c>
      <c r="C132" s="30">
        <v>-22.5</v>
      </c>
      <c r="D132" s="30">
        <v>-16.7</v>
      </c>
      <c r="E132" s="30">
        <v>-21.6</v>
      </c>
      <c r="F132" s="30">
        <v>-22.4</v>
      </c>
      <c r="G132" s="30">
        <v>-25.1</v>
      </c>
      <c r="H132" s="30">
        <v>-16.600000000000001</v>
      </c>
      <c r="I132" s="30">
        <v>-21</v>
      </c>
      <c r="J132" s="30">
        <v>-20.7</v>
      </c>
      <c r="K132" s="30">
        <v>-21.1</v>
      </c>
      <c r="L132" s="30">
        <v>-21.8</v>
      </c>
      <c r="M132" s="30">
        <v>-21.6</v>
      </c>
      <c r="N132" s="30">
        <v>-22.6</v>
      </c>
      <c r="O132" s="30">
        <v>-21.9</v>
      </c>
      <c r="P132" s="30">
        <v>-21.5</v>
      </c>
      <c r="Q132" s="30">
        <v>-21.6</v>
      </c>
      <c r="R132" s="30">
        <v>-27.4</v>
      </c>
      <c r="S132" s="30">
        <v>-34.4</v>
      </c>
      <c r="T132" s="30">
        <v>-28.3</v>
      </c>
      <c r="U132" s="30">
        <v>-83.5</v>
      </c>
      <c r="V132" s="30">
        <v>-89.7</v>
      </c>
      <c r="W132" s="30">
        <v>-35.4</v>
      </c>
      <c r="X132" s="30">
        <v>-92</v>
      </c>
      <c r="Y132" s="30">
        <v>-63.9</v>
      </c>
      <c r="Z132" s="30">
        <v>-76</v>
      </c>
      <c r="AA132" s="15">
        <v>-63</v>
      </c>
      <c r="AB132" s="15">
        <v>-89.7</v>
      </c>
      <c r="AC132" s="15">
        <v>-98.9</v>
      </c>
      <c r="AD132" s="15">
        <v>-111.9</v>
      </c>
      <c r="AE132" s="15">
        <v>-99.6</v>
      </c>
      <c r="AF132" s="15">
        <v>-124.8</v>
      </c>
      <c r="AG132" s="15">
        <v>-143.5</v>
      </c>
      <c r="AH132" s="15">
        <v>-143</v>
      </c>
      <c r="AI132" s="15">
        <v>-118.3</v>
      </c>
      <c r="AJ132" s="15">
        <v>-136.80000000000001</v>
      </c>
      <c r="AK132" s="15">
        <v>-141.30000000000001</v>
      </c>
      <c r="AL132" s="15">
        <v>-121.8</v>
      </c>
      <c r="AM132" s="15">
        <v>-97.6</v>
      </c>
      <c r="AN132" s="15">
        <v>-139</v>
      </c>
      <c r="AO132" s="15">
        <v>-127.4</v>
      </c>
      <c r="AP132" s="15">
        <v>-150.4</v>
      </c>
      <c r="AQ132" s="15">
        <v>-145</v>
      </c>
      <c r="AR132" s="15">
        <v>-140.4</v>
      </c>
      <c r="AS132" s="15">
        <v>-144</v>
      </c>
      <c r="AT132" s="15">
        <v>-202.4</v>
      </c>
      <c r="AU132" s="15">
        <v>-135.6</v>
      </c>
      <c r="AV132" s="15">
        <v>-150.30000000000001</v>
      </c>
      <c r="AW132" s="15">
        <v>-118.4</v>
      </c>
      <c r="AX132" s="15">
        <v>-123.8</v>
      </c>
      <c r="AY132" s="14">
        <v>-112.5</v>
      </c>
      <c r="AZ132" s="15">
        <f>-225.6-AY132</f>
        <v>-113.1</v>
      </c>
      <c r="BA132" s="15">
        <v>-114.6</v>
      </c>
      <c r="BB132" s="16">
        <v>-128.19999999999999</v>
      </c>
      <c r="BC132" s="29">
        <v>-106</v>
      </c>
      <c r="BD132" s="30">
        <f>-274.8-BC132</f>
        <v>-168.8</v>
      </c>
      <c r="BE132" s="30">
        <v>-196.9</v>
      </c>
      <c r="BF132" s="31">
        <v>-267.7</v>
      </c>
      <c r="BG132" s="29">
        <v>-178.3</v>
      </c>
      <c r="BH132" s="30">
        <v>-213</v>
      </c>
      <c r="BI132" s="30">
        <v>-214.2</v>
      </c>
      <c r="BJ132" s="30">
        <f>-212.5</f>
        <v>-212.5</v>
      </c>
      <c r="BK132" s="210">
        <v>-202.2</v>
      </c>
      <c r="BL132" s="221">
        <v>-192.3</v>
      </c>
      <c r="BM132" s="221">
        <v>-159.1</v>
      </c>
      <c r="BN132" s="222">
        <v>-142.5</v>
      </c>
      <c r="BO132" s="210">
        <v>-135.4</v>
      </c>
      <c r="BP132" s="221">
        <v>-169.3</v>
      </c>
      <c r="BQ132" s="221">
        <v>-161.4</v>
      </c>
      <c r="BR132" s="221">
        <v>-169.2</v>
      </c>
      <c r="BS132" s="210">
        <v>-89.6</v>
      </c>
      <c r="BT132" s="221">
        <f>-119.6+0.1</f>
        <v>-119.5</v>
      </c>
      <c r="BU132" s="221">
        <v>-228.2</v>
      </c>
      <c r="BV132" s="222">
        <v>-202.6</v>
      </c>
      <c r="BW132" s="213">
        <v>-127</v>
      </c>
      <c r="BX132" s="214">
        <v>-74</v>
      </c>
      <c r="BY132" s="214">
        <v>-127</v>
      </c>
      <c r="BZ132" s="214">
        <v>-163</v>
      </c>
      <c r="CA132" s="213">
        <v>-148</v>
      </c>
      <c r="CB132" s="214">
        <v>-176</v>
      </c>
      <c r="CC132" s="214">
        <v>-195</v>
      </c>
      <c r="CD132" s="259">
        <v>-172</v>
      </c>
      <c r="CE132" s="213">
        <v>-32</v>
      </c>
      <c r="CF132" s="214">
        <v>-31</v>
      </c>
      <c r="CG132" s="214">
        <v>-60</v>
      </c>
      <c r="CH132" s="259">
        <v>-182</v>
      </c>
      <c r="CI132" s="213">
        <v>-67</v>
      </c>
      <c r="CJ132" s="214">
        <v>-80</v>
      </c>
      <c r="CK132" s="214">
        <v>-78</v>
      </c>
      <c r="CL132" s="259">
        <v>-103</v>
      </c>
      <c r="CM132" s="213">
        <v>-88</v>
      </c>
      <c r="CN132" s="214">
        <v>-88</v>
      </c>
      <c r="CO132" s="214">
        <v>-103</v>
      </c>
      <c r="CP132" s="259">
        <v>-117</v>
      </c>
      <c r="CQ132" s="213">
        <v>-86</v>
      </c>
      <c r="CR132" s="214">
        <v>-76</v>
      </c>
      <c r="CS132" s="214">
        <v>-88</v>
      </c>
      <c r="CT132" s="259">
        <v>-113</v>
      </c>
      <c r="CU132" s="213">
        <v>-104</v>
      </c>
      <c r="CV132" s="214">
        <v>-104</v>
      </c>
      <c r="CW132" s="214"/>
      <c r="CX132" s="259"/>
    </row>
    <row r="133" spans="1:119" x14ac:dyDescent="0.25">
      <c r="A133" s="225"/>
      <c r="B133" s="250" t="s">
        <v>68</v>
      </c>
      <c r="C133" s="30">
        <v>2.4</v>
      </c>
      <c r="D133" s="30">
        <v>4.9000000000000004</v>
      </c>
      <c r="E133" s="30">
        <v>0.9</v>
      </c>
      <c r="F133" s="30">
        <v>0.5</v>
      </c>
      <c r="G133" s="30">
        <v>0.7</v>
      </c>
      <c r="H133" s="30">
        <f>-5.9-1</f>
        <v>-6.9</v>
      </c>
      <c r="I133" s="30">
        <v>-0.2</v>
      </c>
      <c r="J133" s="30">
        <f>-4.6+0.1</f>
        <v>-4.5</v>
      </c>
      <c r="K133" s="30">
        <v>-11.7</v>
      </c>
      <c r="L133" s="30">
        <f>-43-426.2</f>
        <v>-469.2</v>
      </c>
      <c r="M133" s="30">
        <v>25.5</v>
      </c>
      <c r="N133" s="30">
        <v>19.600000000000001</v>
      </c>
      <c r="O133" s="30">
        <v>-52.7</v>
      </c>
      <c r="P133" s="30">
        <f>-1-58.4</f>
        <v>-59.4</v>
      </c>
      <c r="Q133" s="30">
        <f>-15+0.4</f>
        <v>-14.6</v>
      </c>
      <c r="R133" s="30">
        <f>-12.7+0.7</f>
        <v>-12</v>
      </c>
      <c r="S133" s="30">
        <f>-11.3+6.1</f>
        <v>-5.2000000000000011</v>
      </c>
      <c r="T133" s="30">
        <f>-14.6+4.6</f>
        <v>-10</v>
      </c>
      <c r="U133" s="30">
        <f>-10.6+3.7</f>
        <v>-6.8999999999999995</v>
      </c>
      <c r="V133" s="30">
        <f>-11.3+2.1</f>
        <v>-9.2000000000000011</v>
      </c>
      <c r="W133" s="30">
        <f>-9+0.5</f>
        <v>-8.5</v>
      </c>
      <c r="X133" s="30">
        <f>-14+5.6</f>
        <v>-8.4</v>
      </c>
      <c r="Y133" s="30">
        <f>-11+0.3</f>
        <v>-10.7</v>
      </c>
      <c r="Z133" s="30">
        <f>-7.7+0.5</f>
        <v>-7.2</v>
      </c>
      <c r="AA133" s="15">
        <f>-37.2+2.7</f>
        <v>-34.5</v>
      </c>
      <c r="AB133" s="15">
        <f>-7.2+0.4</f>
        <v>-6.8</v>
      </c>
      <c r="AC133" s="15">
        <f>-10.3+0.2</f>
        <v>-10.100000000000001</v>
      </c>
      <c r="AD133" s="15">
        <f>-5.5</f>
        <v>-5.5</v>
      </c>
      <c r="AE133" s="15">
        <f>-6.7+0.1</f>
        <v>-6.6000000000000005</v>
      </c>
      <c r="AF133" s="15">
        <f>-1.5-39.8</f>
        <v>-41.3</v>
      </c>
      <c r="AG133" s="15">
        <f>-9-3.6</f>
        <v>-12.6</v>
      </c>
      <c r="AH133" s="15">
        <f>-12.6</f>
        <v>-12.6</v>
      </c>
      <c r="AI133" s="15">
        <f>-12.1+0.8</f>
        <v>-11.299999999999999</v>
      </c>
      <c r="AJ133" s="15">
        <f>-9.7-2.5</f>
        <v>-12.2</v>
      </c>
      <c r="AK133" s="15">
        <f>-16.2-23</f>
        <v>-39.200000000000003</v>
      </c>
      <c r="AL133" s="15">
        <f>6.5-308.2</f>
        <v>-301.7</v>
      </c>
      <c r="AM133" s="15">
        <f>-10.7-12.2</f>
        <v>-22.9</v>
      </c>
      <c r="AN133" s="15">
        <f>-10.9-6</f>
        <v>-16.899999999999999</v>
      </c>
      <c r="AO133" s="15">
        <f>-11.5-12</f>
        <v>-23.5</v>
      </c>
      <c r="AP133" s="15">
        <f>-13.1-4.6</f>
        <v>-17.7</v>
      </c>
      <c r="AQ133" s="15">
        <f>-12.9-2.9</f>
        <v>-15.8</v>
      </c>
      <c r="AR133" s="15">
        <f>-14.1-2.3</f>
        <v>-16.399999999999999</v>
      </c>
      <c r="AS133" s="15">
        <f>-17.1-0.5</f>
        <v>-17.600000000000001</v>
      </c>
      <c r="AT133" s="15">
        <f>-24.8-2.3</f>
        <v>-27.1</v>
      </c>
      <c r="AU133" s="15">
        <v>-43.4</v>
      </c>
      <c r="AV133" s="15">
        <v>-912</v>
      </c>
      <c r="AW133" s="15">
        <v>-21.2</v>
      </c>
      <c r="AX133" s="15">
        <v>-38.799999999999997</v>
      </c>
      <c r="AY133" s="14">
        <v>-48.8</v>
      </c>
      <c r="AZ133" s="15">
        <v>-24.7</v>
      </c>
      <c r="BA133" s="15">
        <v>-40.4</v>
      </c>
      <c r="BB133" s="16">
        <v>454.2</v>
      </c>
      <c r="BC133" s="29">
        <v>-21.7</v>
      </c>
      <c r="BD133" s="30">
        <f>-36.8-BC133</f>
        <v>-15.099999999999998</v>
      </c>
      <c r="BE133" s="30">
        <v>-19.399999999999999</v>
      </c>
      <c r="BF133" s="31">
        <f>-42-6.9</f>
        <v>-48.9</v>
      </c>
      <c r="BG133" s="29">
        <f>-142.7+2.7</f>
        <v>-140</v>
      </c>
      <c r="BH133" s="30">
        <f>-36.5-0.4-0.1</f>
        <v>-37</v>
      </c>
      <c r="BI133" s="15">
        <f>-355.2+321.9</f>
        <v>-33.300000000000011</v>
      </c>
      <c r="BJ133" s="30">
        <f>-250.4+225+0.1</f>
        <v>-25.300000000000004</v>
      </c>
      <c r="BK133" s="210">
        <f>-27.7-5.6</f>
        <v>-33.299999999999997</v>
      </c>
      <c r="BL133" s="221">
        <f>22.4-686.7</f>
        <v>-664.30000000000007</v>
      </c>
      <c r="BM133" s="221">
        <v>-41.8</v>
      </c>
      <c r="BN133" s="222">
        <v>-95.3</v>
      </c>
      <c r="BO133" s="210">
        <v>-29.5</v>
      </c>
      <c r="BP133" s="221">
        <v>-51</v>
      </c>
      <c r="BQ133" s="221">
        <f>-7.4-9.5+0.5</f>
        <v>-16.399999999999999</v>
      </c>
      <c r="BR133" s="221">
        <f>-19.8-160.7-77.8</f>
        <v>-258.3</v>
      </c>
      <c r="BS133" s="210">
        <f>-69-0.5-52.7</f>
        <v>-122.2</v>
      </c>
      <c r="BT133" s="221">
        <v>-203.3</v>
      </c>
      <c r="BU133" s="221">
        <f>-25-23.9+0.6</f>
        <v>-48.3</v>
      </c>
      <c r="BV133" s="222">
        <f>-6.7-25.5+10.4</f>
        <v>-21.800000000000004</v>
      </c>
      <c r="BW133" s="213">
        <v>-31</v>
      </c>
      <c r="BX133" s="214">
        <v>-32</v>
      </c>
      <c r="BY133" s="214">
        <v>-56</v>
      </c>
      <c r="BZ133" s="214">
        <v>-65</v>
      </c>
      <c r="CA133" s="213">
        <v>-38</v>
      </c>
      <c r="CB133" s="214">
        <v>-19</v>
      </c>
      <c r="CC133" s="214">
        <v>-15</v>
      </c>
      <c r="CD133" s="259">
        <v>-1310</v>
      </c>
      <c r="CE133" s="213">
        <v>-56</v>
      </c>
      <c r="CF133" s="214">
        <v>-55</v>
      </c>
      <c r="CG133" s="214">
        <v>-36</v>
      </c>
      <c r="CH133" s="259">
        <v>-312</v>
      </c>
      <c r="CI133" s="213">
        <v>-247</v>
      </c>
      <c r="CJ133" s="214">
        <v>138</v>
      </c>
      <c r="CK133" s="214">
        <v>-82</v>
      </c>
      <c r="CL133" s="259">
        <v>-52</v>
      </c>
      <c r="CM133" s="213">
        <v>-71</v>
      </c>
      <c r="CN133" s="214">
        <v>-42</v>
      </c>
      <c r="CO133" s="214">
        <v>-52</v>
      </c>
      <c r="CP133" s="259">
        <v>-37</v>
      </c>
      <c r="CQ133" s="213">
        <v>-47</v>
      </c>
      <c r="CR133" s="214">
        <v>-51</v>
      </c>
      <c r="CS133" s="214">
        <v>-49</v>
      </c>
      <c r="CT133" s="259">
        <v>417</v>
      </c>
      <c r="CU133" s="213">
        <v>-19</v>
      </c>
      <c r="CV133" s="214">
        <v>-32</v>
      </c>
      <c r="CW133" s="214"/>
      <c r="CX133" s="259"/>
    </row>
    <row r="134" spans="1:119" x14ac:dyDescent="0.25">
      <c r="A134" s="225"/>
      <c r="B134" s="250" t="s">
        <v>178</v>
      </c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  <c r="AA134" s="170"/>
      <c r="AB134" s="170"/>
      <c r="AC134" s="170"/>
      <c r="AD134" s="170"/>
      <c r="AE134" s="170"/>
      <c r="AF134" s="170"/>
      <c r="AG134" s="170"/>
      <c r="AH134" s="170"/>
      <c r="AI134" s="15">
        <v>-1.3</v>
      </c>
      <c r="AJ134" s="15">
        <v>-4.0999999999999996</v>
      </c>
      <c r="AK134" s="15">
        <v>-4.5999999999999996</v>
      </c>
      <c r="AL134" s="15">
        <v>-4.5999999999999996</v>
      </c>
      <c r="AM134" s="15">
        <v>-3.6</v>
      </c>
      <c r="AN134" s="15">
        <v>-5.0999999999999996</v>
      </c>
      <c r="AO134" s="15">
        <v>-5.3</v>
      </c>
      <c r="AP134" s="15">
        <v>-19</v>
      </c>
      <c r="AQ134" s="15">
        <v>-25.4</v>
      </c>
      <c r="AR134" s="15">
        <v>-20.7</v>
      </c>
      <c r="AS134" s="15">
        <v>-18.399999999999999</v>
      </c>
      <c r="AT134" s="15">
        <v>-6</v>
      </c>
      <c r="AU134" s="15">
        <v>-5.6</v>
      </c>
      <c r="AV134" s="15">
        <v>-8.3000000000000007</v>
      </c>
      <c r="AW134" s="15">
        <v>-26.6</v>
      </c>
      <c r="AX134" s="15">
        <v>-28.7</v>
      </c>
      <c r="AY134" s="14">
        <v>-17.100000000000001</v>
      </c>
      <c r="AZ134" s="15">
        <f>-35-AY134</f>
        <v>-17.899999999999999</v>
      </c>
      <c r="BA134" s="15">
        <v>-21</v>
      </c>
      <c r="BB134" s="16">
        <v>-26.1</v>
      </c>
      <c r="BC134" s="29">
        <v>-4.0999999999999996</v>
      </c>
      <c r="BD134" s="30">
        <f>-23.3-BC134</f>
        <v>-19.200000000000003</v>
      </c>
      <c r="BE134" s="30">
        <v>-27.2</v>
      </c>
      <c r="BF134" s="31">
        <v>-38.200000000000003</v>
      </c>
      <c r="BG134" s="29">
        <v>-32.299999999999997</v>
      </c>
      <c r="BH134" s="30">
        <v>-20</v>
      </c>
      <c r="BI134" s="30">
        <v>-44.3</v>
      </c>
      <c r="BJ134" s="30">
        <v>-16.7</v>
      </c>
      <c r="BK134" s="210">
        <v>-9.8000000000000007</v>
      </c>
      <c r="BL134" s="221">
        <v>-10.3</v>
      </c>
      <c r="BM134" s="221">
        <v>-17.5</v>
      </c>
      <c r="BN134" s="222">
        <v>-6.8</v>
      </c>
      <c r="BO134" s="210">
        <v>-4.9000000000000004</v>
      </c>
      <c r="BP134" s="221">
        <v>-13</v>
      </c>
      <c r="BQ134" s="221">
        <v>-7.9</v>
      </c>
      <c r="BR134" s="221">
        <v>7</v>
      </c>
      <c r="BS134" s="210">
        <v>-2.2000000000000002</v>
      </c>
      <c r="BT134" s="221">
        <v>-3.5</v>
      </c>
      <c r="BU134" s="221">
        <v>-6.1</v>
      </c>
      <c r="BV134" s="222">
        <f>-7.2-11.8</f>
        <v>-19</v>
      </c>
      <c r="BW134" s="213">
        <v>-7</v>
      </c>
      <c r="BX134" s="214">
        <v>-4</v>
      </c>
      <c r="BY134" s="214">
        <v>-15</v>
      </c>
      <c r="BZ134" s="214">
        <v>-21</v>
      </c>
      <c r="CA134" s="213">
        <v>-6</v>
      </c>
      <c r="CB134" s="214">
        <v>-6</v>
      </c>
      <c r="CC134" s="214">
        <v>-8</v>
      </c>
      <c r="CD134" s="259">
        <v>-7</v>
      </c>
      <c r="CE134" s="213">
        <v>11</v>
      </c>
      <c r="CF134" s="214">
        <v>-2</v>
      </c>
      <c r="CG134" s="214">
        <v>-7</v>
      </c>
      <c r="CH134" s="259">
        <v>-7</v>
      </c>
      <c r="CI134" s="213">
        <v>-6</v>
      </c>
      <c r="CJ134" s="214">
        <v>-7</v>
      </c>
      <c r="CK134" s="214">
        <v>-5</v>
      </c>
      <c r="CL134" s="259">
        <v>-6</v>
      </c>
      <c r="CM134" s="213">
        <v>-6</v>
      </c>
      <c r="CN134" s="214">
        <v>-6</v>
      </c>
      <c r="CO134" s="214">
        <v>-6</v>
      </c>
      <c r="CP134" s="259">
        <v>-37</v>
      </c>
      <c r="CQ134" s="213">
        <v>-8</v>
      </c>
      <c r="CR134" s="214">
        <v>-33</v>
      </c>
      <c r="CS134" s="214">
        <v>-34</v>
      </c>
      <c r="CT134" s="259">
        <v>-73</v>
      </c>
      <c r="CU134" s="213">
        <v>-80</v>
      </c>
      <c r="CV134" s="214">
        <v>-50</v>
      </c>
      <c r="CW134" s="214"/>
      <c r="CX134" s="259"/>
    </row>
    <row r="135" spans="1:119" x14ac:dyDescent="0.25">
      <c r="A135" s="225"/>
      <c r="B135" s="250" t="s">
        <v>69</v>
      </c>
      <c r="C135" s="30">
        <v>-1.2</v>
      </c>
      <c r="D135" s="30">
        <v>27.9</v>
      </c>
      <c r="E135" s="30">
        <v>-59.8</v>
      </c>
      <c r="F135" s="30">
        <v>-55.5</v>
      </c>
      <c r="G135" s="30">
        <v>-44.3</v>
      </c>
      <c r="H135" s="30">
        <v>-26.3</v>
      </c>
      <c r="I135" s="30">
        <v>-3.9</v>
      </c>
      <c r="J135" s="30">
        <v>2.7</v>
      </c>
      <c r="K135" s="30">
        <v>-3</v>
      </c>
      <c r="L135" s="30">
        <v>141</v>
      </c>
      <c r="M135" s="30">
        <v>6.2</v>
      </c>
      <c r="N135" s="30">
        <v>0.5</v>
      </c>
      <c r="O135" s="30">
        <v>31.5</v>
      </c>
      <c r="P135" s="30">
        <v>-44.7</v>
      </c>
      <c r="Q135" s="30">
        <v>12.8</v>
      </c>
      <c r="R135" s="30">
        <v>-16.8</v>
      </c>
      <c r="S135" s="30">
        <v>-31.4</v>
      </c>
      <c r="T135" s="30">
        <v>-60.2</v>
      </c>
      <c r="U135" s="30">
        <v>-73.099999999999994</v>
      </c>
      <c r="V135" s="30">
        <v>-67.900000000000006</v>
      </c>
      <c r="W135" s="30">
        <v>-50.3</v>
      </c>
      <c r="X135" s="30">
        <v>-37.1</v>
      </c>
      <c r="Y135" s="30">
        <v>-33.1</v>
      </c>
      <c r="Z135" s="30">
        <v>-47.6</v>
      </c>
      <c r="AA135" s="15">
        <v>-17.5</v>
      </c>
      <c r="AB135" s="15">
        <v>-108.1</v>
      </c>
      <c r="AC135" s="15">
        <v>-31.4</v>
      </c>
      <c r="AD135" s="15">
        <v>-87.7</v>
      </c>
      <c r="AE135" s="15">
        <v>-43.3</v>
      </c>
      <c r="AF135" s="15">
        <v>-34.700000000000003</v>
      </c>
      <c r="AG135" s="15">
        <v>-35.799999999999997</v>
      </c>
      <c r="AH135" s="15">
        <f>-55.2-0.3</f>
        <v>-55.5</v>
      </c>
      <c r="AI135" s="15">
        <f>-5.3+0.2</f>
        <v>-5.0999999999999996</v>
      </c>
      <c r="AJ135" s="15">
        <f>-45.7-1.1</f>
        <v>-46.800000000000004</v>
      </c>
      <c r="AK135" s="15">
        <f>-66.6-1</f>
        <v>-67.599999999999994</v>
      </c>
      <c r="AL135" s="15">
        <f>10.4-1.7</f>
        <v>8.7000000000000011</v>
      </c>
      <c r="AM135" s="15">
        <f>-20.4-0.7</f>
        <v>-21.099999999999998</v>
      </c>
      <c r="AN135" s="15">
        <f>-81.7-0</f>
        <v>-81.7</v>
      </c>
      <c r="AO135" s="15">
        <f>-97.9-0.4</f>
        <v>-98.300000000000011</v>
      </c>
      <c r="AP135" s="15">
        <f>-113.4-1.1</f>
        <v>-114.5</v>
      </c>
      <c r="AQ135" s="15">
        <f>237-59.5</f>
        <v>177.5</v>
      </c>
      <c r="AR135" s="15">
        <f>-9.8-41</f>
        <v>-50.8</v>
      </c>
      <c r="AS135" s="15">
        <f>-8.7-31</f>
        <v>-39.700000000000003</v>
      </c>
      <c r="AT135" s="15">
        <f>19.7+10</f>
        <v>29.7</v>
      </c>
      <c r="AU135" s="15">
        <v>-1.8</v>
      </c>
      <c r="AV135" s="15">
        <v>224</v>
      </c>
      <c r="AW135" s="15">
        <f>-28.3-0.5</f>
        <v>-28.8</v>
      </c>
      <c r="AX135" s="15">
        <f>-68.1+113.5</f>
        <v>45.400000000000006</v>
      </c>
      <c r="AY135" s="14">
        <f>-1.3-25.3</f>
        <v>-26.6</v>
      </c>
      <c r="AZ135" s="15">
        <f>-56.4-5.2-AY135</f>
        <v>-35</v>
      </c>
      <c r="BA135" s="15">
        <f>-39.1+4.8</f>
        <v>-34.300000000000004</v>
      </c>
      <c r="BB135" s="16">
        <f>-58.4-128.1</f>
        <v>-186.5</v>
      </c>
      <c r="BC135" s="29">
        <v>12.4</v>
      </c>
      <c r="BD135" s="30">
        <f>-7.7-3.5-BC135</f>
        <v>-23.6</v>
      </c>
      <c r="BE135" s="30">
        <f>-50.6+7.7</f>
        <v>-42.9</v>
      </c>
      <c r="BF135" s="31">
        <f>-101.2+42.6</f>
        <v>-58.6</v>
      </c>
      <c r="BG135" s="29">
        <f>-73.5+36.5</f>
        <v>-37</v>
      </c>
      <c r="BH135" s="30">
        <f>-12-27.4</f>
        <v>-39.4</v>
      </c>
      <c r="BI135" s="30">
        <v>-110</v>
      </c>
      <c r="BJ135" s="30">
        <f>-17.2</f>
        <v>-17.2</v>
      </c>
      <c r="BK135" s="210">
        <v>10.1</v>
      </c>
      <c r="BL135" s="221">
        <v>179.3</v>
      </c>
      <c r="BM135" s="221">
        <v>0.7</v>
      </c>
      <c r="BN135" s="222">
        <v>42.8</v>
      </c>
      <c r="BO135" s="210">
        <v>30.4</v>
      </c>
      <c r="BP135" s="221">
        <v>-8.9</v>
      </c>
      <c r="BQ135" s="221">
        <v>1.1000000000000001</v>
      </c>
      <c r="BR135" s="221">
        <v>110.7</v>
      </c>
      <c r="BS135" s="210">
        <v>127.3</v>
      </c>
      <c r="BT135" s="221">
        <v>122.3</v>
      </c>
      <c r="BU135" s="221">
        <v>7</v>
      </c>
      <c r="BV135" s="222">
        <v>-180.1</v>
      </c>
      <c r="BW135" s="213">
        <v>-14</v>
      </c>
      <c r="BX135" s="214">
        <v>-5</v>
      </c>
      <c r="BY135" s="214">
        <v>22</v>
      </c>
      <c r="BZ135" s="214">
        <v>-97</v>
      </c>
      <c r="CA135" s="213">
        <v>0</v>
      </c>
      <c r="CB135" s="214">
        <v>7</v>
      </c>
      <c r="CC135" s="214">
        <v>9</v>
      </c>
      <c r="CD135" s="259">
        <v>209</v>
      </c>
      <c r="CE135" s="213">
        <v>16</v>
      </c>
      <c r="CF135" s="214">
        <v>10</v>
      </c>
      <c r="CG135" s="214">
        <v>1</v>
      </c>
      <c r="CH135" s="259">
        <v>127</v>
      </c>
      <c r="CI135" s="213">
        <v>-13</v>
      </c>
      <c r="CJ135" s="214">
        <v>-460</v>
      </c>
      <c r="CK135" s="214">
        <v>-1</v>
      </c>
      <c r="CL135" s="259">
        <v>5</v>
      </c>
      <c r="CM135" s="213">
        <v>-403</v>
      </c>
      <c r="CN135" s="214">
        <v>3</v>
      </c>
      <c r="CO135" s="214">
        <v>48</v>
      </c>
      <c r="CP135" s="259">
        <v>0</v>
      </c>
      <c r="CQ135" s="213">
        <v>-419</v>
      </c>
      <c r="CR135" s="214">
        <v>16</v>
      </c>
      <c r="CS135" s="214">
        <v>1</v>
      </c>
      <c r="CT135" s="259">
        <v>-210</v>
      </c>
      <c r="CU135" s="213">
        <v>-542</v>
      </c>
      <c r="CV135" s="214">
        <v>3</v>
      </c>
      <c r="CW135" s="214"/>
      <c r="CX135" s="259"/>
    </row>
    <row r="136" spans="1:119" s="1" customFormat="1" ht="15.75" thickBot="1" x14ac:dyDescent="0.3">
      <c r="A136" s="306"/>
      <c r="B136" s="303" t="s">
        <v>70</v>
      </c>
      <c r="C136" s="80">
        <f>SUM(C131:C135)</f>
        <v>252.4</v>
      </c>
      <c r="D136" s="80">
        <f t="shared" ref="D136:BN136" si="288">SUM(D131:D135)</f>
        <v>262</v>
      </c>
      <c r="E136" s="80">
        <f t="shared" si="288"/>
        <v>88.900000000000048</v>
      </c>
      <c r="F136" s="80">
        <f t="shared" si="288"/>
        <v>75.499999999999972</v>
      </c>
      <c r="G136" s="80">
        <f t="shared" si="288"/>
        <v>62.199999999999989</v>
      </c>
      <c r="H136" s="80">
        <f t="shared" si="288"/>
        <v>30.800000000000029</v>
      </c>
      <c r="I136" s="80">
        <f t="shared" si="288"/>
        <v>2.9</v>
      </c>
      <c r="J136" s="80">
        <f t="shared" si="288"/>
        <v>-4.3000000000000105</v>
      </c>
      <c r="K136" s="80">
        <f t="shared" si="288"/>
        <v>4.6000000000000334</v>
      </c>
      <c r="L136" s="80">
        <f t="shared" si="288"/>
        <v>-357</v>
      </c>
      <c r="M136" s="80">
        <f t="shared" si="288"/>
        <v>-10.300000000000036</v>
      </c>
      <c r="N136" s="80">
        <f t="shared" si="288"/>
        <v>-1.7999999999999545</v>
      </c>
      <c r="O136" s="80">
        <f t="shared" si="288"/>
        <v>-50.799999999999983</v>
      </c>
      <c r="P136" s="80">
        <f t="shared" si="288"/>
        <v>-86.200000000000017</v>
      </c>
      <c r="Q136" s="80">
        <f t="shared" si="288"/>
        <v>-17.900000000000002</v>
      </c>
      <c r="R136" s="80">
        <f t="shared" si="288"/>
        <v>22.400000000000023</v>
      </c>
      <c r="S136" s="80">
        <f t="shared" si="288"/>
        <v>44.599999999999959</v>
      </c>
      <c r="T136" s="80">
        <f t="shared" si="288"/>
        <v>89.699999999999974</v>
      </c>
      <c r="U136" s="80">
        <f t="shared" si="288"/>
        <v>120.29999999999995</v>
      </c>
      <c r="V136" s="80">
        <f t="shared" si="288"/>
        <v>107.89999999999995</v>
      </c>
      <c r="W136" s="80">
        <f t="shared" si="288"/>
        <v>80.8</v>
      </c>
      <c r="X136" s="80">
        <f t="shared" si="288"/>
        <v>61.800000000000004</v>
      </c>
      <c r="Y136" s="80">
        <f t="shared" si="288"/>
        <v>55.000000000000036</v>
      </c>
      <c r="Z136" s="80">
        <f t="shared" si="288"/>
        <v>78.600000000000023</v>
      </c>
      <c r="AA136" s="81">
        <f t="shared" si="288"/>
        <v>31.399999999999977</v>
      </c>
      <c r="AB136" s="81">
        <f t="shared" si="288"/>
        <v>167.4</v>
      </c>
      <c r="AC136" s="81">
        <f t="shared" si="288"/>
        <v>43.999999999999979</v>
      </c>
      <c r="AD136" s="81">
        <f t="shared" si="288"/>
        <v>143.69999999999993</v>
      </c>
      <c r="AE136" s="81">
        <f t="shared" si="288"/>
        <v>63.09999999999998</v>
      </c>
      <c r="AF136" s="81">
        <f t="shared" si="288"/>
        <v>70.999999999999943</v>
      </c>
      <c r="AG136" s="81">
        <f t="shared" si="288"/>
        <v>42.999999999999986</v>
      </c>
      <c r="AH136" s="81">
        <f t="shared" si="288"/>
        <v>90.500000000000028</v>
      </c>
      <c r="AI136" s="81">
        <f t="shared" si="288"/>
        <v>2.0000000000000044</v>
      </c>
      <c r="AJ136" s="81">
        <f t="shared" si="288"/>
        <v>71.399999999999949</v>
      </c>
      <c r="AK136" s="81">
        <f t="shared" si="288"/>
        <v>41.099999999999952</v>
      </c>
      <c r="AL136" s="81">
        <f t="shared" si="288"/>
        <v>-96.999999999999901</v>
      </c>
      <c r="AM136" s="81">
        <f t="shared" si="288"/>
        <v>28.699999999999985</v>
      </c>
      <c r="AN136" s="81">
        <f t="shared" si="288"/>
        <v>142.19999999999999</v>
      </c>
      <c r="AO136" s="81">
        <f t="shared" si="288"/>
        <v>172.90000000000009</v>
      </c>
      <c r="AP136" s="81">
        <f t="shared" si="288"/>
        <v>313.7000000000001</v>
      </c>
      <c r="AQ136" s="81">
        <f t="shared" si="288"/>
        <v>393.09999999999991</v>
      </c>
      <c r="AR136" s="81">
        <f t="shared" si="288"/>
        <v>145.99999999999994</v>
      </c>
      <c r="AS136" s="81">
        <f t="shared" si="288"/>
        <v>121.40000000000013</v>
      </c>
      <c r="AT136" s="81">
        <f t="shared" si="288"/>
        <v>-46.699999999999974</v>
      </c>
      <c r="AU136" s="81">
        <f t="shared" si="288"/>
        <v>-13.399999999999993</v>
      </c>
      <c r="AV136" s="81">
        <f t="shared" si="288"/>
        <v>-582</v>
      </c>
      <c r="AW136" s="81">
        <f t="shared" si="288"/>
        <v>187.10000000000016</v>
      </c>
      <c r="AX136" s="81">
        <f t="shared" si="288"/>
        <v>244.70000000000013</v>
      </c>
      <c r="AY136" s="82">
        <f t="shared" si="288"/>
        <v>94.800000000000068</v>
      </c>
      <c r="AZ136" s="81">
        <f t="shared" si="288"/>
        <v>109.89999999999981</v>
      </c>
      <c r="BA136" s="81">
        <f t="shared" si="288"/>
        <v>122.99999999999994</v>
      </c>
      <c r="BB136" s="83">
        <f t="shared" si="288"/>
        <v>541.99999999999989</v>
      </c>
      <c r="BC136" s="84">
        <f t="shared" si="288"/>
        <v>-49.400000000000006</v>
      </c>
      <c r="BD136" s="80">
        <f t="shared" si="288"/>
        <v>174.0999999999996</v>
      </c>
      <c r="BE136" s="80">
        <f t="shared" si="288"/>
        <v>148.20000000000013</v>
      </c>
      <c r="BF136" s="85">
        <f t="shared" si="288"/>
        <v>105.70000000000013</v>
      </c>
      <c r="BG136" s="84">
        <f t="shared" si="288"/>
        <v>101.39999999999998</v>
      </c>
      <c r="BH136" s="80">
        <f t="shared" si="288"/>
        <v>299.90000000000009</v>
      </c>
      <c r="BI136" s="80">
        <f t="shared" si="288"/>
        <v>167.60000000000008</v>
      </c>
      <c r="BJ136" s="80">
        <f t="shared" si="288"/>
        <v>191.09999999999997</v>
      </c>
      <c r="BK136" s="118">
        <f t="shared" si="288"/>
        <v>-5.3000000000001233</v>
      </c>
      <c r="BL136" s="119">
        <f t="shared" si="288"/>
        <v>-517.70000000000027</v>
      </c>
      <c r="BM136" s="119">
        <f t="shared" si="288"/>
        <v>46.400000000000148</v>
      </c>
      <c r="BN136" s="120">
        <f t="shared" si="288"/>
        <v>57.399999999999935</v>
      </c>
      <c r="BO136" s="118">
        <f t="shared" ref="BO136:BV136" si="289">SUM(BO131:BO135)</f>
        <v>-101.00000000000003</v>
      </c>
      <c r="BP136" s="119">
        <f t="shared" si="289"/>
        <v>59.099999999999945</v>
      </c>
      <c r="BQ136" s="119">
        <f t="shared" si="289"/>
        <v>9.5999999999998131</v>
      </c>
      <c r="BR136" s="119">
        <f t="shared" si="289"/>
        <v>-153.19999999999999</v>
      </c>
      <c r="BS136" s="118">
        <f t="shared" si="289"/>
        <v>-455.50000000000017</v>
      </c>
      <c r="BT136" s="119">
        <f t="shared" si="289"/>
        <v>-432.60000000000008</v>
      </c>
      <c r="BU136" s="119">
        <f t="shared" si="289"/>
        <v>82.100000000000179</v>
      </c>
      <c r="BV136" s="120">
        <f t="shared" si="289"/>
        <v>-54.5</v>
      </c>
      <c r="BW136" s="419">
        <f t="shared" ref="BW136:BX136" si="290">SUM(BW131:BW135)</f>
        <v>48</v>
      </c>
      <c r="BX136" s="418">
        <f t="shared" si="290"/>
        <v>-125</v>
      </c>
      <c r="BY136" s="418">
        <f t="shared" ref="BY136:BZ136" si="291">SUM(BY131:BY135)</f>
        <v>127</v>
      </c>
      <c r="BZ136" s="418">
        <f t="shared" si="291"/>
        <v>85</v>
      </c>
      <c r="CA136" s="419">
        <f t="shared" ref="CA136:CB136" si="292">SUM(CA131:CA135)</f>
        <v>-51</v>
      </c>
      <c r="CB136" s="418">
        <f t="shared" si="292"/>
        <v>-45</v>
      </c>
      <c r="CC136" s="418">
        <f t="shared" ref="CC136:CF136" si="293">SUM(CC131:CC135)</f>
        <v>38</v>
      </c>
      <c r="CD136" s="465">
        <f t="shared" si="293"/>
        <v>-1038</v>
      </c>
      <c r="CE136" s="419">
        <f t="shared" si="293"/>
        <v>-495</v>
      </c>
      <c r="CF136" s="418">
        <f t="shared" si="293"/>
        <v>-677</v>
      </c>
      <c r="CG136" s="418">
        <f t="shared" ref="CG136:CJ136" si="294">SUM(CG131:CG135)</f>
        <v>-541</v>
      </c>
      <c r="CH136" s="465">
        <f t="shared" si="294"/>
        <v>-132</v>
      </c>
      <c r="CI136" s="419">
        <f t="shared" si="294"/>
        <v>-165</v>
      </c>
      <c r="CJ136" s="418">
        <f t="shared" si="294"/>
        <v>-131</v>
      </c>
      <c r="CK136" s="418">
        <f t="shared" ref="CK136:CP136" si="295">SUM(CK131:CK135)</f>
        <v>-195</v>
      </c>
      <c r="CL136" s="465">
        <f t="shared" si="295"/>
        <v>172</v>
      </c>
      <c r="CM136" s="419">
        <f t="shared" si="295"/>
        <v>-328</v>
      </c>
      <c r="CN136" s="418">
        <f t="shared" si="295"/>
        <v>41</v>
      </c>
      <c r="CO136" s="418">
        <f t="shared" si="295"/>
        <v>23</v>
      </c>
      <c r="CP136" s="465">
        <f t="shared" si="295"/>
        <v>328</v>
      </c>
      <c r="CQ136" s="419">
        <f t="shared" ref="CQ136:CT136" si="296">SUM(CQ131:CQ135)</f>
        <v>-76</v>
      </c>
      <c r="CR136" s="418">
        <f t="shared" si="296"/>
        <v>238</v>
      </c>
      <c r="CS136" s="418">
        <f t="shared" si="296"/>
        <v>353</v>
      </c>
      <c r="CT136" s="465">
        <f t="shared" si="296"/>
        <v>681</v>
      </c>
      <c r="CU136" s="419">
        <f t="shared" ref="CU136:CX136" si="297">SUM(CU131:CU135)</f>
        <v>255</v>
      </c>
      <c r="CV136" s="418">
        <f t="shared" si="297"/>
        <v>445</v>
      </c>
      <c r="CW136" s="418">
        <f t="shared" si="297"/>
        <v>0</v>
      </c>
      <c r="CX136" s="465">
        <f t="shared" si="297"/>
        <v>0</v>
      </c>
      <c r="CY136" s="347"/>
      <c r="CZ136" s="347"/>
      <c r="DA136" s="347"/>
      <c r="DB136" s="347"/>
      <c r="DC136" s="347"/>
      <c r="DD136" s="347"/>
      <c r="DE136" s="347"/>
      <c r="DF136" s="347"/>
      <c r="DG136" s="347"/>
      <c r="DH136" s="347"/>
      <c r="DI136" s="347"/>
      <c r="DJ136" s="347"/>
      <c r="DK136" s="347"/>
      <c r="DL136" s="347"/>
      <c r="DM136" s="347"/>
      <c r="DN136" s="347"/>
      <c r="DO136" s="347"/>
    </row>
    <row r="137" spans="1:119" ht="16.5" thickTop="1" x14ac:dyDescent="0.25">
      <c r="A137" s="225"/>
      <c r="B137" s="308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180" t="s">
        <v>91</v>
      </c>
      <c r="AW137" s="180"/>
      <c r="AX137" s="180"/>
      <c r="AY137" s="24"/>
      <c r="AZ137" s="8"/>
      <c r="BA137" s="8"/>
      <c r="BB137" s="9"/>
      <c r="BC137" s="34"/>
      <c r="BD137" s="32"/>
      <c r="BE137" s="32"/>
      <c r="BF137" s="33"/>
      <c r="BG137" s="34"/>
      <c r="BH137" s="32"/>
      <c r="BK137" s="225"/>
      <c r="BL137" s="319" t="s">
        <v>112</v>
      </c>
      <c r="BM137" s="208"/>
      <c r="BN137" s="227"/>
      <c r="BO137" s="225"/>
      <c r="BP137" s="208"/>
      <c r="BQ137" s="208"/>
      <c r="BR137" s="208"/>
      <c r="BS137" s="225"/>
      <c r="BT137" s="208"/>
      <c r="BU137" s="208"/>
      <c r="BV137" s="227"/>
      <c r="BW137" s="208"/>
      <c r="BX137" s="208"/>
      <c r="BY137" s="208"/>
      <c r="BZ137" s="208"/>
      <c r="CA137" s="225"/>
      <c r="CB137" s="208"/>
      <c r="CC137" s="208"/>
      <c r="CD137" s="467"/>
      <c r="CE137" s="225"/>
      <c r="CF137" s="208"/>
      <c r="CG137" s="208"/>
      <c r="CH137" s="467"/>
      <c r="CI137" s="225"/>
      <c r="CJ137" s="208"/>
      <c r="CK137" s="208"/>
      <c r="CL137" s="467"/>
      <c r="CM137" s="225"/>
      <c r="CN137" s="208"/>
      <c r="CO137" s="208"/>
      <c r="CP137" s="467"/>
      <c r="CQ137" s="225"/>
      <c r="CR137" s="208"/>
      <c r="CS137" s="208"/>
      <c r="CT137" s="467"/>
      <c r="CU137" s="225"/>
      <c r="CV137" s="208"/>
      <c r="CW137" s="208"/>
      <c r="CX137" s="467"/>
    </row>
    <row r="138" spans="1:119" x14ac:dyDescent="0.25">
      <c r="A138" s="225"/>
      <c r="B138" s="292" t="s">
        <v>71</v>
      </c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10"/>
      <c r="AZ138" s="8"/>
      <c r="BA138" s="8"/>
      <c r="BB138" s="9"/>
      <c r="BC138" s="34"/>
      <c r="BD138" s="32"/>
      <c r="BE138" s="32"/>
      <c r="BF138" s="33"/>
      <c r="BG138" s="34"/>
      <c r="BH138" s="32"/>
      <c r="BK138" s="225"/>
      <c r="BL138" s="208"/>
      <c r="BM138" s="208"/>
      <c r="BN138" s="227"/>
      <c r="BO138" s="225"/>
      <c r="BP138" s="208"/>
      <c r="BQ138" s="208"/>
      <c r="BR138" s="208"/>
      <c r="BS138" s="225"/>
      <c r="BT138" s="208"/>
      <c r="BU138" s="208"/>
      <c r="BV138" s="227"/>
      <c r="BW138" s="208"/>
      <c r="BX138" s="208"/>
      <c r="BY138" s="208"/>
      <c r="BZ138" s="208"/>
      <c r="CA138" s="225"/>
      <c r="CB138" s="208"/>
      <c r="CC138" s="208"/>
      <c r="CD138" s="227"/>
      <c r="CE138" s="225"/>
      <c r="CF138" s="208"/>
      <c r="CG138" s="208"/>
      <c r="CH138" s="227"/>
      <c r="CI138" s="225"/>
      <c r="CJ138" s="208"/>
      <c r="CK138" s="208"/>
      <c r="CL138" s="227"/>
      <c r="CM138" s="225"/>
      <c r="CN138" s="208"/>
      <c r="CO138" s="208"/>
      <c r="CP138" s="227"/>
      <c r="CQ138" s="225"/>
      <c r="CR138" s="208"/>
      <c r="CS138" s="208"/>
      <c r="CT138" s="227"/>
      <c r="CU138" s="225"/>
      <c r="CV138" s="208"/>
      <c r="CW138" s="208"/>
      <c r="CX138" s="227"/>
    </row>
    <row r="139" spans="1:119" x14ac:dyDescent="0.25">
      <c r="A139" s="225"/>
      <c r="B139" s="227" t="s">
        <v>72</v>
      </c>
      <c r="C139" s="32">
        <f>+C129*(1000000)/(C117)</f>
        <v>108444.36104334772</v>
      </c>
      <c r="D139" s="32">
        <f t="shared" ref="D139:BH139" si="298">+D129*(1000000)/(D117)</f>
        <v>104889.88428518103</v>
      </c>
      <c r="E139" s="32">
        <f t="shared" si="298"/>
        <v>104635.89743589744</v>
      </c>
      <c r="F139" s="32">
        <f t="shared" si="298"/>
        <v>100059.21831819977</v>
      </c>
      <c r="G139" s="32">
        <f t="shared" si="298"/>
        <v>94831.546707503832</v>
      </c>
      <c r="H139" s="32">
        <f t="shared" si="298"/>
        <v>86605.297764418559</v>
      </c>
      <c r="I139" s="32">
        <f t="shared" si="298"/>
        <v>86548.172086447186</v>
      </c>
      <c r="J139" s="32">
        <f t="shared" si="298"/>
        <v>83743.251349730053</v>
      </c>
      <c r="K139" s="32">
        <f t="shared" si="298"/>
        <v>89362.144192811131</v>
      </c>
      <c r="L139" s="32">
        <f t="shared" si="298"/>
        <v>83112.15753424658</v>
      </c>
      <c r="M139" s="32">
        <f t="shared" si="298"/>
        <v>82562.125107112253</v>
      </c>
      <c r="N139" s="32">
        <f t="shared" si="298"/>
        <v>84390.940624362382</v>
      </c>
      <c r="O139" s="32">
        <f t="shared" si="298"/>
        <v>82488.479262672816</v>
      </c>
      <c r="P139" s="32">
        <f t="shared" si="298"/>
        <v>88650.246305418725</v>
      </c>
      <c r="Q139" s="32">
        <f t="shared" si="298"/>
        <v>91929.499072356222</v>
      </c>
      <c r="R139" s="32">
        <f t="shared" si="298"/>
        <v>101245.3300124533</v>
      </c>
      <c r="S139" s="32">
        <f t="shared" si="298"/>
        <v>108864.43844716629</v>
      </c>
      <c r="T139" s="32">
        <f t="shared" si="298"/>
        <v>129299.08576404005</v>
      </c>
      <c r="U139" s="32">
        <f t="shared" si="298"/>
        <v>142860.22433132012</v>
      </c>
      <c r="V139" s="32">
        <f t="shared" si="298"/>
        <v>143397.84946236559</v>
      </c>
      <c r="W139" s="32">
        <f t="shared" si="298"/>
        <v>151806.90399137003</v>
      </c>
      <c r="X139" s="32">
        <f t="shared" si="298"/>
        <v>151317.47249936045</v>
      </c>
      <c r="Y139" s="32">
        <f t="shared" si="298"/>
        <v>155975.18208794174</v>
      </c>
      <c r="Z139" s="32">
        <f t="shared" si="298"/>
        <v>170254.19145484045</v>
      </c>
      <c r="AA139" s="8">
        <f t="shared" si="298"/>
        <v>226514.55546813534</v>
      </c>
      <c r="AB139" s="8">
        <f t="shared" si="298"/>
        <v>226101.14192495923</v>
      </c>
      <c r="AC139" s="8">
        <f t="shared" si="298"/>
        <v>216413.18124207857</v>
      </c>
      <c r="AD139" s="8">
        <f t="shared" si="298"/>
        <v>256596.38554216866</v>
      </c>
      <c r="AE139" s="8">
        <f t="shared" si="298"/>
        <v>289393.33065488149</v>
      </c>
      <c r="AF139" s="8">
        <f t="shared" si="298"/>
        <v>250078.14942169428</v>
      </c>
      <c r="AG139" s="8">
        <f t="shared" si="298"/>
        <v>240413.15100378238</v>
      </c>
      <c r="AH139" s="8">
        <f t="shared" si="298"/>
        <v>264526.8233875829</v>
      </c>
      <c r="AI139" s="8">
        <f t="shared" si="298"/>
        <v>267054.71478463331</v>
      </c>
      <c r="AJ139" s="8">
        <f t="shared" si="298"/>
        <v>289390.75630252098</v>
      </c>
      <c r="AK139" s="8">
        <f t="shared" si="298"/>
        <v>287632.72954403498</v>
      </c>
      <c r="AL139" s="8">
        <f t="shared" si="298"/>
        <v>301525.97402597405</v>
      </c>
      <c r="AM139" s="8">
        <f t="shared" si="298"/>
        <v>312575.62662057043</v>
      </c>
      <c r="AN139" s="8">
        <f t="shared" si="298"/>
        <v>331397.6377952756</v>
      </c>
      <c r="AO139" s="8">
        <f t="shared" si="298"/>
        <v>400493.17147192714</v>
      </c>
      <c r="AP139" s="8">
        <f t="shared" si="298"/>
        <v>437863.03334528505</v>
      </c>
      <c r="AQ139" s="8">
        <f t="shared" si="298"/>
        <v>419171.40536149475</v>
      </c>
      <c r="AR139" s="8">
        <f t="shared" si="298"/>
        <v>422890.59345983044</v>
      </c>
      <c r="AS139" s="8">
        <f t="shared" si="298"/>
        <v>437225.67287784687</v>
      </c>
      <c r="AT139" s="8">
        <f t="shared" si="298"/>
        <v>477934.84941610327</v>
      </c>
      <c r="AU139" s="8">
        <f t="shared" si="298"/>
        <v>471082.39095315023</v>
      </c>
      <c r="AV139" s="8">
        <f t="shared" si="298"/>
        <v>434301.82133564615</v>
      </c>
      <c r="AW139" s="8">
        <f t="shared" si="298"/>
        <v>426038.9849209268</v>
      </c>
      <c r="AX139" s="8">
        <f t="shared" si="298"/>
        <v>415281.69014084508</v>
      </c>
      <c r="AY139" s="10">
        <f t="shared" si="298"/>
        <v>453774.77857444115</v>
      </c>
      <c r="AZ139" s="8">
        <f t="shared" si="298"/>
        <v>436496.06299212587</v>
      </c>
      <c r="BA139" s="8">
        <f t="shared" si="298"/>
        <v>441539.63414634147</v>
      </c>
      <c r="BB139" s="9">
        <f t="shared" si="298"/>
        <v>433877.26144022704</v>
      </c>
      <c r="BC139" s="34">
        <f t="shared" si="298"/>
        <v>460777.77777777775</v>
      </c>
      <c r="BD139" s="32">
        <f t="shared" si="298"/>
        <v>462717.51203258045</v>
      </c>
      <c r="BE139" s="32">
        <f t="shared" si="298"/>
        <v>471855.2354181307</v>
      </c>
      <c r="BF139" s="33">
        <f t="shared" si="298"/>
        <v>505221.174764322</v>
      </c>
      <c r="BG139" s="34">
        <f t="shared" si="298"/>
        <v>602556.1921551344</v>
      </c>
      <c r="BH139" s="32">
        <f t="shared" si="298"/>
        <v>605514.56310679612</v>
      </c>
      <c r="BI139" s="32">
        <f>+BI129*(1000000)/(BI117)</f>
        <v>598198.19819819822</v>
      </c>
      <c r="BJ139" s="32">
        <f>+BJ129*(1000000)/(BJ117)+37</f>
        <v>540997.66565809376</v>
      </c>
      <c r="BK139" s="213">
        <f t="shared" ref="BK139:BR139" si="299">+BK129*(1000000)/(BK117)</f>
        <v>516673.96061269147</v>
      </c>
      <c r="BL139" s="214">
        <f t="shared" si="299"/>
        <v>529828.51985559566</v>
      </c>
      <c r="BM139" s="214">
        <f t="shared" si="299"/>
        <v>543763.03712974547</v>
      </c>
      <c r="BN139" s="259">
        <f t="shared" si="299"/>
        <v>555221.15823073417</v>
      </c>
      <c r="BO139" s="213">
        <f t="shared" si="299"/>
        <v>510157.06806282722</v>
      </c>
      <c r="BP139" s="214">
        <f t="shared" si="299"/>
        <v>538906.88259109308</v>
      </c>
      <c r="BQ139" s="214">
        <f t="shared" si="299"/>
        <v>543300.79858030169</v>
      </c>
      <c r="BR139" s="214">
        <f t="shared" si="299"/>
        <v>563196.63512092538</v>
      </c>
      <c r="BS139" s="213">
        <v>572630</v>
      </c>
      <c r="BT139" s="214">
        <v>596635</v>
      </c>
      <c r="BU139" s="214">
        <v>660971</v>
      </c>
      <c r="BV139" s="259">
        <v>652103</v>
      </c>
      <c r="BW139" s="214">
        <v>781977</v>
      </c>
      <c r="BX139" s="214">
        <v>873597</v>
      </c>
      <c r="BY139" s="214">
        <v>962652</v>
      </c>
      <c r="BZ139" s="214">
        <v>921043</v>
      </c>
      <c r="CA139" s="213">
        <v>853592</v>
      </c>
      <c r="CB139" s="214">
        <v>820292</v>
      </c>
      <c r="CC139" s="214">
        <v>834881</v>
      </c>
      <c r="CD139" s="259">
        <v>883333</v>
      </c>
      <c r="CE139" s="213">
        <v>924528</v>
      </c>
      <c r="CF139" s="214">
        <v>962264</v>
      </c>
      <c r="CG139" s="214">
        <v>942721</v>
      </c>
      <c r="CH139" s="259">
        <v>969673</v>
      </c>
      <c r="CI139" s="213">
        <v>1066270</v>
      </c>
      <c r="CJ139" s="214">
        <v>1186655</v>
      </c>
      <c r="CK139" s="214">
        <v>1152688</v>
      </c>
      <c r="CL139" s="259">
        <v>1189549</v>
      </c>
      <c r="CM139" s="213">
        <v>1252252</v>
      </c>
      <c r="CN139" s="214">
        <v>1383547</v>
      </c>
      <c r="CO139" s="214">
        <v>1412311</v>
      </c>
      <c r="CP139" s="259">
        <v>1454968</v>
      </c>
      <c r="CQ139" s="213">
        <v>1680310</v>
      </c>
      <c r="CR139" s="214">
        <v>1830311</v>
      </c>
      <c r="CS139" s="214">
        <v>1843066</v>
      </c>
      <c r="CT139" s="259">
        <v>1978402</v>
      </c>
      <c r="CU139" s="213">
        <v>2508179</v>
      </c>
      <c r="CV139" s="214">
        <v>2366300</v>
      </c>
      <c r="CW139" s="214"/>
      <c r="CX139" s="259"/>
    </row>
    <row r="140" spans="1:119" x14ac:dyDescent="0.25">
      <c r="A140" s="225"/>
      <c r="B140" s="227" t="s">
        <v>73</v>
      </c>
      <c r="C140" s="32">
        <f>+C139/(32.15074)/(C151)</f>
        <v>292.54096764354966</v>
      </c>
      <c r="D140" s="32">
        <f t="shared" ref="D140:BH140" si="300">+D139/(32.15074)/(D151)</f>
        <v>310.41301131863395</v>
      </c>
      <c r="E140" s="32">
        <f t="shared" si="300"/>
        <v>313.53958316672873</v>
      </c>
      <c r="F140" s="32">
        <f t="shared" si="300"/>
        <v>318.54556923531527</v>
      </c>
      <c r="G140" s="32">
        <f t="shared" si="300"/>
        <v>351.97988252358357</v>
      </c>
      <c r="H140" s="32">
        <f t="shared" si="300"/>
        <v>348.02666926618878</v>
      </c>
      <c r="I140" s="32">
        <f t="shared" si="300"/>
        <v>361.82118448357784</v>
      </c>
      <c r="J140" s="32">
        <f t="shared" si="300"/>
        <v>385.31165793981791</v>
      </c>
      <c r="K140" s="32">
        <f t="shared" si="300"/>
        <v>409.34815118789487</v>
      </c>
      <c r="L140" s="32">
        <f t="shared" si="300"/>
        <v>391.67842300216148</v>
      </c>
      <c r="M140" s="32">
        <f t="shared" si="300"/>
        <v>403.76881564188267</v>
      </c>
      <c r="N140" s="32">
        <f t="shared" si="300"/>
        <v>428.89741831963272</v>
      </c>
      <c r="O140" s="32">
        <f t="shared" si="300"/>
        <v>431.20655885721692</v>
      </c>
      <c r="P140" s="32">
        <f t="shared" si="300"/>
        <v>431.50726801525121</v>
      </c>
      <c r="Q140" s="32">
        <f t="shared" si="300"/>
        <v>438.54718187327961</v>
      </c>
      <c r="R140" s="32">
        <f t="shared" si="300"/>
        <v>482.2484558240115</v>
      </c>
      <c r="S140" s="32">
        <f t="shared" si="300"/>
        <v>551.47609566505764</v>
      </c>
      <c r="T140" s="32">
        <f t="shared" si="300"/>
        <v>629.3665001526366</v>
      </c>
      <c r="U140" s="32">
        <f t="shared" si="300"/>
        <v>625.8381099944811</v>
      </c>
      <c r="V140" s="32">
        <f t="shared" si="300"/>
        <v>604.35943023954098</v>
      </c>
      <c r="W140" s="32">
        <f t="shared" si="300"/>
        <v>654.88536491780269</v>
      </c>
      <c r="X140" s="32">
        <f t="shared" si="300"/>
        <v>663.82234934982728</v>
      </c>
      <c r="Y140" s="32">
        <f t="shared" si="300"/>
        <v>683.29175332648356</v>
      </c>
      <c r="Z140" s="32">
        <f t="shared" si="300"/>
        <v>783.35774791814561</v>
      </c>
      <c r="AA140" s="8">
        <f t="shared" si="300"/>
        <v>945.69015574355421</v>
      </c>
      <c r="AB140" s="8">
        <f t="shared" si="300"/>
        <v>905.08790979580306</v>
      </c>
      <c r="AC140" s="8">
        <f t="shared" si="300"/>
        <v>869.66456553105411</v>
      </c>
      <c r="AD140" s="8">
        <f t="shared" si="300"/>
        <v>812.73333556605451</v>
      </c>
      <c r="AE140" s="8">
        <f t="shared" si="300"/>
        <v>906.45927342360289</v>
      </c>
      <c r="AF140" s="8">
        <f t="shared" si="300"/>
        <v>908.68008269712084</v>
      </c>
      <c r="AG140" s="8">
        <f t="shared" si="300"/>
        <v>956.22588138183778</v>
      </c>
      <c r="AH140" s="8">
        <f t="shared" si="300"/>
        <v>1098.4920687840604</v>
      </c>
      <c r="AI140" s="8">
        <f t="shared" si="300"/>
        <v>1107.5109096903454</v>
      </c>
      <c r="AJ140" s="8">
        <f t="shared" si="300"/>
        <v>1198.5433440440875</v>
      </c>
      <c r="AK140" s="8">
        <f t="shared" si="300"/>
        <v>1215.5407280031357</v>
      </c>
      <c r="AL140" s="8">
        <f t="shared" si="300"/>
        <v>1355.2757303194662</v>
      </c>
      <c r="AM140" s="8">
        <f t="shared" si="300"/>
        <v>1392.8640024572537</v>
      </c>
      <c r="AN140" s="8">
        <f t="shared" si="300"/>
        <v>1520.2980596845105</v>
      </c>
      <c r="AO140" s="8">
        <f t="shared" si="300"/>
        <v>1766.9124272957831</v>
      </c>
      <c r="AP140" s="8">
        <f t="shared" si="300"/>
        <v>1685.5279061516585</v>
      </c>
      <c r="AQ140" s="8">
        <f t="shared" si="300"/>
        <v>1677.9524769084071</v>
      </c>
      <c r="AR140" s="8">
        <f t="shared" si="300"/>
        <v>1631.93181761091</v>
      </c>
      <c r="AS140" s="8">
        <f t="shared" si="300"/>
        <v>1646.3972580076256</v>
      </c>
      <c r="AT140" s="8">
        <f t="shared" si="300"/>
        <v>1714.5834530381674</v>
      </c>
      <c r="AU140" s="8">
        <f t="shared" si="300"/>
        <v>1648.1780890292928</v>
      </c>
      <c r="AV140" s="8">
        <f t="shared" si="300"/>
        <v>1435.525970664549</v>
      </c>
      <c r="AW140" s="8">
        <f t="shared" si="300"/>
        <v>1327.7852094908251</v>
      </c>
      <c r="AX140" s="8">
        <f t="shared" si="300"/>
        <v>1277.6169192617608</v>
      </c>
      <c r="AY140" s="10">
        <f t="shared" si="300"/>
        <v>1304.4340278559862</v>
      </c>
      <c r="AZ140" s="8">
        <f t="shared" si="300"/>
        <v>1289.3207922462477</v>
      </c>
      <c r="BA140" s="8">
        <f t="shared" si="300"/>
        <v>1281.1026653719669</v>
      </c>
      <c r="BB140" s="9">
        <f t="shared" si="300"/>
        <v>1204.919115392687</v>
      </c>
      <c r="BC140" s="34">
        <f t="shared" si="300"/>
        <v>1224.9396452269129</v>
      </c>
      <c r="BD140" s="32">
        <f t="shared" si="300"/>
        <v>1192.3882635355146</v>
      </c>
      <c r="BE140" s="32">
        <f t="shared" si="300"/>
        <v>1128.9493358667776</v>
      </c>
      <c r="BF140" s="33">
        <f t="shared" si="300"/>
        <v>1105.8506895610083</v>
      </c>
      <c r="BG140" s="34">
        <f t="shared" si="300"/>
        <v>1186.9282059807501</v>
      </c>
      <c r="BH140" s="32">
        <f t="shared" si="300"/>
        <v>1258.0903148628124</v>
      </c>
      <c r="BI140" s="32">
        <f>+BI139/(32.15074)/(BI151)+1</f>
        <v>1324.331975875416</v>
      </c>
      <c r="BJ140" s="32">
        <f>+BJ139/(32.15074)/(BJ151)</f>
        <v>1212.3135288551418</v>
      </c>
      <c r="BK140" s="213">
        <f>+BK139/(32.15074)/(BK151)</f>
        <v>1216.5298887487259</v>
      </c>
      <c r="BL140" s="214">
        <f>+BL139/(32.15074)/(BL151)</f>
        <v>1248.4479122870741</v>
      </c>
      <c r="BM140" s="214">
        <f>+BM139/(32.15074)/(BM151)+1</f>
        <v>1284.2264389601121</v>
      </c>
      <c r="BN140" s="259">
        <f>+BN139/(32.15074)/(BN151)</f>
        <v>1267.0074792474679</v>
      </c>
      <c r="BO140" s="213">
        <f>+BO139/(32.15074)/(BO151)-1</f>
        <v>1325.7275729703349</v>
      </c>
      <c r="BP140" s="214">
        <f>+BP139/(32.15074)/(BP151)</f>
        <v>1325.0498928541388</v>
      </c>
      <c r="BQ140" s="214">
        <f>+BQ139/(32.15074)/(BQ151)-1</f>
        <v>1201.7435755557449</v>
      </c>
      <c r="BR140" s="214">
        <f t="shared" ref="BR140:BW140" si="301">+BR139/(32.15074)/(BR151)</f>
        <v>1224.1353636091869</v>
      </c>
      <c r="BS140" s="213">
        <f t="shared" si="301"/>
        <v>1271.2910463137448</v>
      </c>
      <c r="BT140" s="214">
        <f t="shared" si="301"/>
        <v>1289.6057450996032</v>
      </c>
      <c r="BU140" s="214">
        <f t="shared" si="301"/>
        <v>1401.3974345072795</v>
      </c>
      <c r="BV140" s="259">
        <f t="shared" si="301"/>
        <v>1377.8990948102053</v>
      </c>
      <c r="BW140" s="214">
        <f t="shared" si="301"/>
        <v>1581.4179744366143</v>
      </c>
      <c r="BX140" s="214">
        <f t="shared" ref="BX140:BY140" si="302">+BX139/(32.15074)/(BX151)</f>
        <v>1513.7554079925067</v>
      </c>
      <c r="BY140" s="214">
        <f t="shared" si="302"/>
        <v>1770.6582061386248</v>
      </c>
      <c r="BZ140" s="214">
        <f t="shared" ref="BZ140:CB140" si="303">+BZ139/(32.15074)/(BZ151)</f>
        <v>1835.2111105202889</v>
      </c>
      <c r="CA140" s="213">
        <f t="shared" si="303"/>
        <v>1774.7115235933443</v>
      </c>
      <c r="CB140" s="214">
        <f t="shared" si="303"/>
        <v>1805.6573534257677</v>
      </c>
      <c r="CC140" s="214">
        <f t="shared" ref="CC140:CF140" si="304">+CC139/(32.15074)/(CC151)</f>
        <v>1774.9628926623036</v>
      </c>
      <c r="CD140" s="259">
        <f t="shared" si="304"/>
        <v>1781.7596034668813</v>
      </c>
      <c r="CE140" s="213">
        <f t="shared" si="304"/>
        <v>1889.3588090680496</v>
      </c>
      <c r="CF140" s="214">
        <f t="shared" si="304"/>
        <v>1919.8051388287452</v>
      </c>
      <c r="CG140" s="214">
        <f t="shared" ref="CG140:CJ140" si="305">+CG139/(32.15074)/(CG151)</f>
        <v>1719.7599262785059</v>
      </c>
      <c r="CH140" s="259">
        <f t="shared" si="305"/>
        <v>1712.6750608195939</v>
      </c>
      <c r="CI140" s="213">
        <f t="shared" si="305"/>
        <v>1867.3823751871721</v>
      </c>
      <c r="CJ140" s="214">
        <f t="shared" si="305"/>
        <v>1977.9798393836265</v>
      </c>
      <c r="CK140" s="214">
        <f t="shared" ref="CK140:CP140" si="306">+CK139/(32.15074)/(CK151)</f>
        <v>1928.5966536086057</v>
      </c>
      <c r="CL140" s="259">
        <f t="shared" si="306"/>
        <v>1983.86687845298</v>
      </c>
      <c r="CM140" s="213">
        <f t="shared" si="306"/>
        <v>2065.185524252121</v>
      </c>
      <c r="CN140" s="214">
        <f t="shared" si="306"/>
        <v>2317.34683942847</v>
      </c>
      <c r="CO140" s="214">
        <f t="shared" si="306"/>
        <v>2445.8681179091013</v>
      </c>
      <c r="CP140" s="259">
        <f t="shared" si="306"/>
        <v>2531.0163690478739</v>
      </c>
      <c r="CQ140" s="213">
        <f t="shared" ref="CQ140:CT140" si="307">+CQ139/(32.15074)/(CQ151)</f>
        <v>2828.1111352605199</v>
      </c>
      <c r="CR140" s="214">
        <f t="shared" si="307"/>
        <v>3112.5777668833925</v>
      </c>
      <c r="CS140" s="214">
        <f t="shared" si="307"/>
        <v>3249.7603335564049</v>
      </c>
      <c r="CT140" s="259">
        <f t="shared" si="307"/>
        <v>3596.446129757725</v>
      </c>
      <c r="CU140" s="213">
        <f t="shared" ref="CU140:CX140" si="308">+CU139/(32.15074)/(CU151)</f>
        <v>4774.3637255436597</v>
      </c>
      <c r="CV140" s="214">
        <f t="shared" si="308"/>
        <v>4466.0298658302636</v>
      </c>
      <c r="CW140" s="214" t="e">
        <f t="shared" si="308"/>
        <v>#DIV/0!</v>
      </c>
      <c r="CX140" s="259" t="e">
        <f t="shared" si="308"/>
        <v>#DIV/0!</v>
      </c>
    </row>
    <row r="141" spans="1:119" x14ac:dyDescent="0.25">
      <c r="A141" s="225"/>
      <c r="B141" s="227" t="s">
        <v>138</v>
      </c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10"/>
      <c r="AZ141" s="8"/>
      <c r="BA141" s="8"/>
      <c r="BB141" s="9"/>
      <c r="BC141" s="34"/>
      <c r="BD141" s="32"/>
      <c r="BE141" s="32"/>
      <c r="BF141" s="33"/>
      <c r="BG141" s="34"/>
      <c r="BH141" s="32"/>
      <c r="BI141" s="32"/>
      <c r="BJ141" s="32"/>
      <c r="BK141" s="213"/>
      <c r="BL141" s="214"/>
      <c r="BM141" s="214"/>
      <c r="BN141" s="259"/>
      <c r="BO141" s="213">
        <f>(-BO130/BO117)*1000000</f>
        <v>490052.35602094239</v>
      </c>
      <c r="BP141" s="214">
        <f>(-BP130/BP117)*1000000</f>
        <v>416923.07692307688</v>
      </c>
      <c r="BQ141" s="214">
        <f>(-BQ130/BQ117)*1000000</f>
        <v>457142.85714285716</v>
      </c>
      <c r="BR141" s="214">
        <f>(-BR130/BR117)*1000000</f>
        <v>480862.25026288122</v>
      </c>
      <c r="BS141" s="213">
        <f>+(797.7+21)/BS117*1000000</f>
        <v>1031108.3123425692</v>
      </c>
      <c r="BT141" s="214">
        <f>+(849.1+111.7)/BT117*1000000</f>
        <v>799334.44259567396</v>
      </c>
      <c r="BU141" s="214">
        <v>480857</v>
      </c>
      <c r="BV141" s="259">
        <v>474530</v>
      </c>
      <c r="BW141" s="214">
        <v>648153</v>
      </c>
      <c r="BX141" s="214">
        <v>901781</v>
      </c>
      <c r="BY141" s="214">
        <v>723861</v>
      </c>
      <c r="BZ141" s="214">
        <v>643678</v>
      </c>
      <c r="CA141" s="213">
        <v>754282</v>
      </c>
      <c r="CB141" s="214">
        <v>729419</v>
      </c>
      <c r="CC141" s="214">
        <v>698949</v>
      </c>
      <c r="CD141" s="259">
        <v>720026</v>
      </c>
      <c r="CE141" s="213">
        <v>11217391</v>
      </c>
      <c r="CF141" s="214">
        <v>28409091</v>
      </c>
      <c r="CG141" s="214">
        <v>1276306</v>
      </c>
      <c r="CH141" s="259">
        <v>798556</v>
      </c>
      <c r="CI141" s="213">
        <v>938308</v>
      </c>
      <c r="CJ141" s="214">
        <v>934186</v>
      </c>
      <c r="CK141" s="214">
        <v>1201064</v>
      </c>
      <c r="CL141" s="259">
        <v>842237</v>
      </c>
      <c r="CM141" s="213">
        <v>1095133</v>
      </c>
      <c r="CN141" s="214">
        <v>1221282</v>
      </c>
      <c r="CO141" s="214">
        <v>1271910</v>
      </c>
      <c r="CP141" s="259">
        <v>916958</v>
      </c>
      <c r="CQ141" s="213">
        <v>1224859</v>
      </c>
      <c r="CR141" s="214">
        <v>1380026</v>
      </c>
      <c r="CS141" s="214">
        <v>1243986</v>
      </c>
      <c r="CT141" s="259">
        <v>1269706</v>
      </c>
      <c r="CU141" s="213">
        <v>1445509</v>
      </c>
      <c r="CV141" s="214">
        <v>1684138</v>
      </c>
      <c r="CW141" s="214"/>
      <c r="CX141" s="259"/>
    </row>
    <row r="142" spans="1:119" x14ac:dyDescent="0.25">
      <c r="A142" s="225"/>
      <c r="B142" s="227" t="s">
        <v>139</v>
      </c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10"/>
      <c r="AZ142" s="8"/>
      <c r="BA142" s="8"/>
      <c r="BB142" s="9"/>
      <c r="BC142" s="34"/>
      <c r="BD142" s="32"/>
      <c r="BE142" s="32"/>
      <c r="BF142" s="33"/>
      <c r="BG142" s="34"/>
      <c r="BH142" s="32"/>
      <c r="BI142" s="32"/>
      <c r="BJ142" s="32"/>
      <c r="BK142" s="213"/>
      <c r="BL142" s="214"/>
      <c r="BM142" s="214"/>
      <c r="BN142" s="259"/>
      <c r="BO142" s="213">
        <f t="shared" ref="BO142:BV142" si="309">+BO141/(32.15074)/(BO151)</f>
        <v>1274.4427425084498</v>
      </c>
      <c r="BP142" s="214">
        <f t="shared" si="309"/>
        <v>1025.1193596733469</v>
      </c>
      <c r="BQ142" s="214">
        <f t="shared" si="309"/>
        <v>1012.0096196738849</v>
      </c>
      <c r="BR142" s="214">
        <f t="shared" si="309"/>
        <v>1045.177561199554</v>
      </c>
      <c r="BS142" s="213">
        <f t="shared" si="309"/>
        <v>2289.1548910479446</v>
      </c>
      <c r="BT142" s="214">
        <f t="shared" si="309"/>
        <v>1727.7335212104051</v>
      </c>
      <c r="BU142" s="214">
        <f t="shared" si="309"/>
        <v>1019.5179004296208</v>
      </c>
      <c r="BV142" s="259">
        <f t="shared" si="309"/>
        <v>1002.6858601482999</v>
      </c>
      <c r="BW142" s="214">
        <f t="shared" ref="BW142:BX142" si="310">+BW141/(32.15074)/(BW151)</f>
        <v>1310.7812689951427</v>
      </c>
      <c r="BX142" s="214">
        <f t="shared" si="310"/>
        <v>1562.5922085067723</v>
      </c>
      <c r="BY142" s="214">
        <f t="shared" ref="BY142:BZ142" si="311">+BY141/(32.15074)/(BY151)</f>
        <v>1331.436926068518</v>
      </c>
      <c r="BZ142" s="214">
        <f t="shared" si="311"/>
        <v>1282.5514304950784</v>
      </c>
      <c r="CA142" s="213">
        <f t="shared" ref="CA142:CB142" si="312">+CA141/(32.15074)/(CA151)</f>
        <v>1568.2351257263831</v>
      </c>
      <c r="CB142" s="214">
        <f t="shared" si="312"/>
        <v>1605.6243155833167</v>
      </c>
      <c r="CC142" s="214">
        <f t="shared" ref="CC142:CF142" si="313">+CC141/(32.15074)/(CC151)</f>
        <v>1485.9705022193875</v>
      </c>
      <c r="CD142" s="259">
        <f t="shared" si="313"/>
        <v>1452.3551596576201</v>
      </c>
      <c r="CE142" s="213">
        <f t="shared" si="313"/>
        <v>22923.78002679276</v>
      </c>
      <c r="CF142" s="214">
        <f t="shared" si="313"/>
        <v>56678.748130714077</v>
      </c>
      <c r="CG142" s="214">
        <f t="shared" ref="CG142:CJ142" si="314">+CG141/(32.15074)/(CG151)</f>
        <v>2328.3027666391381</v>
      </c>
      <c r="CH142" s="259">
        <f t="shared" si="314"/>
        <v>1410.4414022746344</v>
      </c>
      <c r="CI142" s="213">
        <f t="shared" si="314"/>
        <v>1643.2796774711144</v>
      </c>
      <c r="CJ142" s="214">
        <f t="shared" si="314"/>
        <v>1557.1510457836798</v>
      </c>
      <c r="CK142" s="214">
        <f t="shared" ref="CK142:CP142" si="315">+CK141/(32.15074)/(CK151)</f>
        <v>2009.5359812627237</v>
      </c>
      <c r="CL142" s="259">
        <f t="shared" si="315"/>
        <v>1404.6383025059097</v>
      </c>
      <c r="CM142" s="213">
        <f t="shared" si="315"/>
        <v>1806.0684420793882</v>
      </c>
      <c r="CN142" s="214">
        <f t="shared" si="315"/>
        <v>2045.5640341462058</v>
      </c>
      <c r="CO142" s="214">
        <f t="shared" si="315"/>
        <v>2202.7188897132178</v>
      </c>
      <c r="CP142" s="259">
        <f t="shared" si="315"/>
        <v>1595.11116926929</v>
      </c>
      <c r="CQ142" s="213">
        <f t="shared" ref="CQ142:CT142" si="316">+CQ141/(32.15074)/(CQ151)</f>
        <v>2061.5466057001772</v>
      </c>
      <c r="CR142" s="214">
        <f t="shared" si="316"/>
        <v>2346.835180098366</v>
      </c>
      <c r="CS142" s="214">
        <f t="shared" si="316"/>
        <v>2193.4409067822307</v>
      </c>
      <c r="CT142" s="259">
        <f t="shared" si="316"/>
        <v>2308.1402210623332</v>
      </c>
      <c r="CU142" s="213">
        <f t="shared" ref="CU142:CX142" si="317">+CU141/(32.15074)/(CU151)</f>
        <v>2751.5523152641376</v>
      </c>
      <c r="CV142" s="214">
        <f t="shared" si="317"/>
        <v>3178.5532714278193</v>
      </c>
      <c r="CW142" s="214" t="e">
        <f t="shared" si="317"/>
        <v>#DIV/0!</v>
      </c>
      <c r="CX142" s="259" t="e">
        <f t="shared" si="317"/>
        <v>#DIV/0!</v>
      </c>
    </row>
    <row r="143" spans="1:119" ht="15" hidden="1" customHeight="1" x14ac:dyDescent="0.25">
      <c r="A143" s="225"/>
      <c r="B143" s="227" t="s">
        <v>74</v>
      </c>
      <c r="C143" s="32">
        <v>54025</v>
      </c>
      <c r="D143" s="32">
        <v>55730</v>
      </c>
      <c r="E143" s="32">
        <v>66338</v>
      </c>
      <c r="F143" s="32">
        <v>66403</v>
      </c>
      <c r="G143" s="32">
        <v>66405</v>
      </c>
      <c r="H143" s="32">
        <v>68401</v>
      </c>
      <c r="I143" s="32">
        <v>78509</v>
      </c>
      <c r="J143" s="32">
        <v>77005</v>
      </c>
      <c r="K143" s="32">
        <v>78143</v>
      </c>
      <c r="L143" s="32">
        <v>81978</v>
      </c>
      <c r="M143" s="32">
        <v>83912</v>
      </c>
      <c r="N143" s="32">
        <v>81351</v>
      </c>
      <c r="O143" s="32">
        <v>81064</v>
      </c>
      <c r="P143" s="32">
        <v>78010</v>
      </c>
      <c r="Q143" s="32">
        <v>87152</v>
      </c>
      <c r="R143" s="32">
        <v>81984</v>
      </c>
      <c r="S143" s="32">
        <v>82147</v>
      </c>
      <c r="T143" s="32">
        <v>85481</v>
      </c>
      <c r="U143" s="32">
        <v>77330</v>
      </c>
      <c r="V143" s="32">
        <v>80237</v>
      </c>
      <c r="W143" s="32">
        <v>99434</v>
      </c>
      <c r="X143" s="32">
        <v>95805</v>
      </c>
      <c r="Y143" s="32">
        <v>106393</v>
      </c>
      <c r="Z143" s="32">
        <v>108031</v>
      </c>
      <c r="AA143" s="8">
        <v>160071</v>
      </c>
      <c r="AB143" s="8">
        <v>119467</v>
      </c>
      <c r="AC143" s="8">
        <v>150982</v>
      </c>
      <c r="AD143" s="8">
        <v>144759</v>
      </c>
      <c r="AE143" s="8">
        <v>193532</v>
      </c>
      <c r="AF143" s="8">
        <v>157862</v>
      </c>
      <c r="AG143" s="8">
        <v>165900</v>
      </c>
      <c r="AH143" s="8">
        <v>167722</v>
      </c>
      <c r="AI143" s="8">
        <v>206092</v>
      </c>
      <c r="AJ143" s="8">
        <v>189216</v>
      </c>
      <c r="AK143" s="8">
        <v>191599</v>
      </c>
      <c r="AL143" s="8">
        <v>192630</v>
      </c>
      <c r="AM143" s="8">
        <v>232411</v>
      </c>
      <c r="AN143" s="8">
        <v>203871</v>
      </c>
      <c r="AO143" s="8">
        <v>236002</v>
      </c>
      <c r="AP143" s="8">
        <v>220222</v>
      </c>
      <c r="AQ143" s="8">
        <v>260114</v>
      </c>
      <c r="AR143" s="8">
        <v>273436</v>
      </c>
      <c r="AS143" s="8">
        <v>297019</v>
      </c>
      <c r="AT143" s="8">
        <v>373632</v>
      </c>
      <c r="AU143" s="8">
        <v>371836</v>
      </c>
      <c r="AV143" s="8">
        <v>314267</v>
      </c>
      <c r="AW143" s="8">
        <v>287238</v>
      </c>
      <c r="AX143" s="8">
        <v>276232</v>
      </c>
      <c r="AY143" s="10">
        <v>329819</v>
      </c>
      <c r="AZ143" s="8">
        <v>320945</v>
      </c>
      <c r="BA143" s="8">
        <v>318407</v>
      </c>
      <c r="BB143" s="9">
        <v>289926</v>
      </c>
      <c r="BC143" s="34">
        <v>419444</v>
      </c>
      <c r="BD143" s="32">
        <v>318067</v>
      </c>
      <c r="BE143" s="32">
        <v>325615</v>
      </c>
      <c r="BF143" s="33">
        <v>327339</v>
      </c>
      <c r="BG143" s="34">
        <v>397708</v>
      </c>
      <c r="BH143" s="32">
        <v>373282</v>
      </c>
      <c r="BI143" s="32">
        <v>389111</v>
      </c>
      <c r="BJ143" s="32">
        <v>368684</v>
      </c>
      <c r="BK143" s="213">
        <v>414967</v>
      </c>
      <c r="BL143" s="214">
        <v>452031</v>
      </c>
      <c r="BM143" s="214">
        <v>417856</v>
      </c>
      <c r="BN143" s="215" t="s">
        <v>77</v>
      </c>
      <c r="BO143" s="216" t="s">
        <v>77</v>
      </c>
      <c r="BP143" s="217" t="s">
        <v>77</v>
      </c>
      <c r="BQ143" s="217" t="s">
        <v>77</v>
      </c>
      <c r="BR143" s="217" t="s">
        <v>77</v>
      </c>
      <c r="BS143" s="216" t="s">
        <v>77</v>
      </c>
      <c r="BT143" s="217" t="s">
        <v>77</v>
      </c>
      <c r="BU143" s="217" t="s">
        <v>77</v>
      </c>
      <c r="BV143" s="215" t="s">
        <v>77</v>
      </c>
      <c r="BW143" s="217" t="s">
        <v>77</v>
      </c>
      <c r="BX143" s="217" t="s">
        <v>77</v>
      </c>
      <c r="BY143" s="217" t="s">
        <v>77</v>
      </c>
      <c r="BZ143" s="217" t="s">
        <v>77</v>
      </c>
      <c r="CA143" s="216" t="s">
        <v>77</v>
      </c>
      <c r="CB143" s="217" t="s">
        <v>77</v>
      </c>
      <c r="CC143" s="217" t="s">
        <v>77</v>
      </c>
      <c r="CD143" s="215" t="s">
        <v>77</v>
      </c>
      <c r="CE143" s="216" t="s">
        <v>77</v>
      </c>
      <c r="CF143" s="217" t="s">
        <v>77</v>
      </c>
      <c r="CG143" s="217" t="s">
        <v>77</v>
      </c>
      <c r="CH143" s="215" t="s">
        <v>77</v>
      </c>
      <c r="CI143" s="216" t="s">
        <v>77</v>
      </c>
      <c r="CJ143" s="217" t="s">
        <v>77</v>
      </c>
      <c r="CK143" s="217" t="s">
        <v>77</v>
      </c>
      <c r="CL143" s="215" t="s">
        <v>77</v>
      </c>
      <c r="CM143" s="216"/>
      <c r="CN143" s="217"/>
      <c r="CO143" s="217"/>
      <c r="CP143" s="215"/>
      <c r="CQ143" s="216"/>
      <c r="CR143" s="217"/>
      <c r="CS143" s="217"/>
      <c r="CT143" s="215"/>
      <c r="CU143" s="216"/>
      <c r="CV143" s="217"/>
      <c r="CW143" s="217"/>
      <c r="CX143" s="215"/>
    </row>
    <row r="144" spans="1:119" ht="15" hidden="1" customHeight="1" x14ac:dyDescent="0.25">
      <c r="A144" s="225"/>
      <c r="B144" s="227" t="s">
        <v>75</v>
      </c>
      <c r="C144" s="32">
        <f>+C143/(32.15074)/(C151)</f>
        <v>145.73856699312688</v>
      </c>
      <c r="D144" s="32">
        <f t="shared" ref="D144:AW144" si="318">+D143/(32.15074)/(D151)</f>
        <v>164.92836500565707</v>
      </c>
      <c r="E144" s="32">
        <f t="shared" si="318"/>
        <v>198.78062288190148</v>
      </c>
      <c r="F144" s="32">
        <f t="shared" si="318"/>
        <v>211.39862762734811</v>
      </c>
      <c r="G144" s="32">
        <f t="shared" si="318"/>
        <v>246.47097838729113</v>
      </c>
      <c r="H144" s="32">
        <f t="shared" si="318"/>
        <v>274.87200920700394</v>
      </c>
      <c r="I144" s="32">
        <f t="shared" si="318"/>
        <v>328.21281706848919</v>
      </c>
      <c r="J144" s="32">
        <f t="shared" si="318"/>
        <v>354.30824265161897</v>
      </c>
      <c r="K144" s="32">
        <f t="shared" si="318"/>
        <v>357.95574140720953</v>
      </c>
      <c r="L144" s="32">
        <f t="shared" si="318"/>
        <v>386.33353667471079</v>
      </c>
      <c r="M144" s="32">
        <f t="shared" si="318"/>
        <v>410.37035825066232</v>
      </c>
      <c r="N144" s="32">
        <f t="shared" si="318"/>
        <v>413.44762387501902</v>
      </c>
      <c r="O144" s="32">
        <f t="shared" si="318"/>
        <v>423.7601274705425</v>
      </c>
      <c r="P144" s="32">
        <f t="shared" si="318"/>
        <v>379.71560577392523</v>
      </c>
      <c r="Q144" s="32">
        <f t="shared" si="318"/>
        <v>415.75625213118497</v>
      </c>
      <c r="R144" s="32">
        <f t="shared" si="318"/>
        <v>390.50351653170276</v>
      </c>
      <c r="S144" s="32">
        <f t="shared" si="318"/>
        <v>416.13319718342507</v>
      </c>
      <c r="T144" s="32">
        <f t="shared" si="318"/>
        <v>416.08088318370596</v>
      </c>
      <c r="U144" s="32">
        <f t="shared" si="318"/>
        <v>338.76512004932545</v>
      </c>
      <c r="V144" s="32">
        <f t="shared" si="318"/>
        <v>338.16398074265857</v>
      </c>
      <c r="W144" s="32">
        <f t="shared" si="318"/>
        <v>428.95197558958608</v>
      </c>
      <c r="X144" s="32">
        <f t="shared" si="318"/>
        <v>420.29184818513937</v>
      </c>
      <c r="Y144" s="32">
        <f t="shared" si="318"/>
        <v>466.08350468651076</v>
      </c>
      <c r="Z144" s="32">
        <f t="shared" si="318"/>
        <v>497.06218767478805</v>
      </c>
      <c r="AA144" s="8">
        <f t="shared" si="318"/>
        <v>668.29069155037723</v>
      </c>
      <c r="AB144" s="8">
        <f t="shared" si="318"/>
        <v>478.22906332539395</v>
      </c>
      <c r="AC144" s="8">
        <f t="shared" si="318"/>
        <v>606.72688548547342</v>
      </c>
      <c r="AD144" s="8">
        <f t="shared" si="318"/>
        <v>458.50398350163812</v>
      </c>
      <c r="AE144" s="8">
        <f t="shared" si="318"/>
        <v>606.19529726974235</v>
      </c>
      <c r="AF144" s="8">
        <f t="shared" si="318"/>
        <v>573.60491328991316</v>
      </c>
      <c r="AG144" s="8">
        <f t="shared" si="318"/>
        <v>659.85522447044116</v>
      </c>
      <c r="AH144" s="8">
        <f t="shared" si="318"/>
        <v>696.49377859367814</v>
      </c>
      <c r="AI144" s="8">
        <f t="shared" si="318"/>
        <v>854.69054004148381</v>
      </c>
      <c r="AJ144" s="8">
        <f t="shared" si="318"/>
        <v>783.65867757563376</v>
      </c>
      <c r="AK144" s="8">
        <f t="shared" si="318"/>
        <v>809.70058002045857</v>
      </c>
      <c r="AL144" s="8">
        <f t="shared" si="318"/>
        <v>865.81849134147899</v>
      </c>
      <c r="AM144" s="8">
        <f t="shared" si="318"/>
        <v>1035.6434990628572</v>
      </c>
      <c r="AN144" s="8">
        <f t="shared" si="318"/>
        <v>935.26522333696437</v>
      </c>
      <c r="AO144" s="8">
        <f t="shared" si="318"/>
        <v>1041.2034370875383</v>
      </c>
      <c r="AP144" s="8">
        <f t="shared" si="318"/>
        <v>847.73159248595778</v>
      </c>
      <c r="AQ144" s="8">
        <f t="shared" si="318"/>
        <v>1041.2421386476728</v>
      </c>
      <c r="AR144" s="8">
        <f t="shared" si="318"/>
        <v>1055.1875955184687</v>
      </c>
      <c r="AS144" s="8">
        <f t="shared" si="318"/>
        <v>1118.4413393602074</v>
      </c>
      <c r="AT144" s="8">
        <f t="shared" si="318"/>
        <v>1340.398687202264</v>
      </c>
      <c r="AU144" s="8">
        <f t="shared" si="318"/>
        <v>1300.9442927219179</v>
      </c>
      <c r="AV144" s="8">
        <f t="shared" si="318"/>
        <v>1038.7670925150869</v>
      </c>
      <c r="AW144" s="8">
        <f t="shared" si="318"/>
        <v>895.20063069935247</v>
      </c>
      <c r="AX144" s="8">
        <f>+AX143/(32.15074)/(AX151)+1</f>
        <v>850.82961016610295</v>
      </c>
      <c r="AY144" s="10">
        <f>+AY143/(32.15074)/(AY151)</f>
        <v>948.10718212461279</v>
      </c>
      <c r="AZ144" s="8">
        <f>+AZ143/(32.15074)/(AZ151)</f>
        <v>948.00640086171109</v>
      </c>
      <c r="BA144" s="8">
        <f>+BA143/(32.15074)/(BA151)</f>
        <v>923.8401829129923</v>
      </c>
      <c r="BB144" s="9">
        <f>+BB143/(32.15074)/(BB151)</f>
        <v>805.15254081243552</v>
      </c>
      <c r="BC144" s="34">
        <f>+BC143/(32.15074)/(BC151)</f>
        <v>1115.0572126773609</v>
      </c>
      <c r="BD144" s="32">
        <f>+BD143/(32.15074)/(BD151)-1</f>
        <v>818.63476193493716</v>
      </c>
      <c r="BE144" s="32">
        <f t="shared" ref="BE144:BM144" si="319">+BE143/(32.15074)/(BE151)</f>
        <v>779.05851287739233</v>
      </c>
      <c r="BF144" s="33">
        <f t="shared" si="319"/>
        <v>716.49423450842664</v>
      </c>
      <c r="BG144" s="34">
        <f t="shared" si="319"/>
        <v>783.41381117639855</v>
      </c>
      <c r="BH144" s="32">
        <f t="shared" si="319"/>
        <v>775.57584495253809</v>
      </c>
      <c r="BI144" s="32">
        <f t="shared" si="319"/>
        <v>860.7900024036046</v>
      </c>
      <c r="BJ144" s="32">
        <f t="shared" si="319"/>
        <v>826.17842819844009</v>
      </c>
      <c r="BK144" s="213">
        <f t="shared" si="319"/>
        <v>977.05670660421549</v>
      </c>
      <c r="BL144" s="214">
        <f t="shared" si="319"/>
        <v>1065.1317116580437</v>
      </c>
      <c r="BM144" s="214">
        <f t="shared" si="319"/>
        <v>986.09841100724691</v>
      </c>
      <c r="BN144" s="215" t="s">
        <v>77</v>
      </c>
      <c r="BO144" s="216" t="s">
        <v>77</v>
      </c>
      <c r="BP144" s="217" t="s">
        <v>77</v>
      </c>
      <c r="BQ144" s="217" t="s">
        <v>77</v>
      </c>
      <c r="BR144" s="217" t="s">
        <v>77</v>
      </c>
      <c r="BS144" s="216" t="s">
        <v>77</v>
      </c>
      <c r="BT144" s="217" t="s">
        <v>77</v>
      </c>
      <c r="BU144" s="217" t="s">
        <v>77</v>
      </c>
      <c r="BV144" s="215" t="s">
        <v>77</v>
      </c>
      <c r="BW144" s="217" t="s">
        <v>77</v>
      </c>
      <c r="BX144" s="217" t="s">
        <v>77</v>
      </c>
      <c r="BY144" s="217" t="s">
        <v>77</v>
      </c>
      <c r="BZ144" s="217" t="s">
        <v>77</v>
      </c>
      <c r="CA144" s="216" t="s">
        <v>77</v>
      </c>
      <c r="CB144" s="217" t="s">
        <v>77</v>
      </c>
      <c r="CC144" s="217" t="s">
        <v>77</v>
      </c>
      <c r="CD144" s="215" t="s">
        <v>77</v>
      </c>
      <c r="CE144" s="216" t="s">
        <v>77</v>
      </c>
      <c r="CF144" s="217" t="s">
        <v>77</v>
      </c>
      <c r="CG144" s="217" t="s">
        <v>77</v>
      </c>
      <c r="CH144" s="215" t="s">
        <v>77</v>
      </c>
      <c r="CI144" s="216" t="s">
        <v>77</v>
      </c>
      <c r="CJ144" s="217" t="s">
        <v>77</v>
      </c>
      <c r="CK144" s="217" t="s">
        <v>77</v>
      </c>
      <c r="CL144" s="215" t="s">
        <v>77</v>
      </c>
      <c r="CM144" s="216"/>
      <c r="CN144" s="217"/>
      <c r="CO144" s="217"/>
      <c r="CP144" s="215"/>
      <c r="CQ144" s="216"/>
      <c r="CR144" s="217"/>
      <c r="CS144" s="217"/>
      <c r="CT144" s="215"/>
      <c r="CU144" s="216"/>
      <c r="CV144" s="217"/>
      <c r="CW144" s="217"/>
      <c r="CX144" s="215"/>
    </row>
    <row r="145" spans="1:119" ht="15" hidden="1" customHeight="1" x14ac:dyDescent="0.25">
      <c r="A145" s="225"/>
      <c r="B145" s="227" t="s">
        <v>76</v>
      </c>
      <c r="C145" s="32">
        <f t="shared" ref="C145:AU145" si="320">+((-C130+C126)*1000000)/(C117)</f>
        <v>66898.104710076936</v>
      </c>
      <c r="D145" s="32">
        <f t="shared" si="320"/>
        <v>71500.559910414333</v>
      </c>
      <c r="E145" s="32">
        <f t="shared" si="320"/>
        <v>85846.153846153844</v>
      </c>
      <c r="F145" s="32">
        <f t="shared" si="320"/>
        <v>90150.019739439405</v>
      </c>
      <c r="G145" s="32">
        <f t="shared" si="320"/>
        <v>84437.21286370598</v>
      </c>
      <c r="H145" s="32">
        <f t="shared" si="320"/>
        <v>93349.614878827735</v>
      </c>
      <c r="I145" s="32">
        <f t="shared" si="320"/>
        <v>96445.162593415473</v>
      </c>
      <c r="J145" s="32">
        <f t="shared" si="320"/>
        <v>96660.667866426724</v>
      </c>
      <c r="K145" s="32">
        <f t="shared" si="320"/>
        <v>94847.288593392892</v>
      </c>
      <c r="L145" s="32">
        <f t="shared" si="320"/>
        <v>99272.260273972599</v>
      </c>
      <c r="M145" s="32">
        <f t="shared" si="320"/>
        <v>99485.861182519293</v>
      </c>
      <c r="N145" s="32">
        <f t="shared" si="320"/>
        <v>96123.24015507038</v>
      </c>
      <c r="O145" s="32">
        <f t="shared" si="320"/>
        <v>95161.290322580651</v>
      </c>
      <c r="P145" s="32">
        <f t="shared" si="320"/>
        <v>91093.596059113304</v>
      </c>
      <c r="Q145" s="32">
        <f t="shared" si="320"/>
        <v>100858.07050092764</v>
      </c>
      <c r="R145" s="32">
        <f t="shared" si="320"/>
        <v>96284.765462847659</v>
      </c>
      <c r="S145" s="32">
        <f t="shared" si="320"/>
        <v>98193.896616151134</v>
      </c>
      <c r="T145" s="32">
        <f t="shared" si="320"/>
        <v>104549.4122768829</v>
      </c>
      <c r="U145" s="32">
        <f t="shared" si="320"/>
        <v>104357.2044866264</v>
      </c>
      <c r="V145" s="32">
        <f t="shared" si="320"/>
        <v>117892.47311827957</v>
      </c>
      <c r="W145" s="32">
        <f t="shared" si="320"/>
        <v>138052.85868392664</v>
      </c>
      <c r="X145" s="32">
        <f t="shared" si="320"/>
        <v>153389.61371194679</v>
      </c>
      <c r="Y145" s="32">
        <f t="shared" si="320"/>
        <v>148179.12058268141</v>
      </c>
      <c r="Z145" s="32">
        <f t="shared" si="320"/>
        <v>151946.99837750135</v>
      </c>
      <c r="AA145" s="8">
        <f t="shared" si="320"/>
        <v>227852.08497246262</v>
      </c>
      <c r="AB145" s="8">
        <f t="shared" si="320"/>
        <v>166095.7041870582</v>
      </c>
      <c r="AC145" s="8">
        <f t="shared" si="320"/>
        <v>206622.30671736374</v>
      </c>
      <c r="AD145" s="8">
        <f t="shared" si="320"/>
        <v>195722.89156626505</v>
      </c>
      <c r="AE145" s="8">
        <f t="shared" si="320"/>
        <v>259622.33828846927</v>
      </c>
      <c r="AF145" s="8">
        <f t="shared" si="320"/>
        <v>224726.47702407005</v>
      </c>
      <c r="AG145" s="8">
        <f t="shared" si="320"/>
        <v>215594.99563572885</v>
      </c>
      <c r="AH145" s="8">
        <f t="shared" si="320"/>
        <v>220765.52139843279</v>
      </c>
      <c r="AI145" s="8">
        <f t="shared" si="320"/>
        <v>274466.43383779592</v>
      </c>
      <c r="AJ145" s="8">
        <f t="shared" si="320"/>
        <v>260049.01960784313</v>
      </c>
      <c r="AK145" s="8">
        <f t="shared" si="320"/>
        <v>241036.85196752034</v>
      </c>
      <c r="AL145" s="8">
        <f t="shared" si="320"/>
        <v>248798.70129870129</v>
      </c>
      <c r="AM145" s="8">
        <f t="shared" si="320"/>
        <v>300172.86084701808</v>
      </c>
      <c r="AN145" s="8">
        <f t="shared" si="320"/>
        <v>255118.11023622047</v>
      </c>
      <c r="AO145" s="8">
        <f t="shared" si="320"/>
        <v>300227.6176024279</v>
      </c>
      <c r="AP145" s="8">
        <f t="shared" si="320"/>
        <v>271172.46324847615</v>
      </c>
      <c r="AQ145" s="8">
        <f t="shared" si="320"/>
        <v>308570.268074736</v>
      </c>
      <c r="AR145" s="8">
        <f t="shared" si="320"/>
        <v>347678.64352038759</v>
      </c>
      <c r="AS145" s="8">
        <f t="shared" si="320"/>
        <v>368654.24430641823</v>
      </c>
      <c r="AT145" s="8">
        <f t="shared" si="320"/>
        <v>481684.08113091579</v>
      </c>
      <c r="AU145" s="8">
        <f t="shared" si="320"/>
        <v>458427.57135164243</v>
      </c>
      <c r="AV145" s="8">
        <f>+((-AV130+AV126)*1000000)/(AV117)</f>
        <v>388898.52558542934</v>
      </c>
      <c r="AW145" s="8">
        <f>+((-AW130+AW126)*1000000)/(AW117)</f>
        <v>321809.48878264066</v>
      </c>
      <c r="AX145" s="8">
        <f>+((-AX130+AX126)*1000000)/(AX117)</f>
        <v>323133.80281690136</v>
      </c>
      <c r="AY145" s="19" t="s">
        <v>77</v>
      </c>
      <c r="AZ145" s="20" t="s">
        <v>77</v>
      </c>
      <c r="BA145" s="20" t="s">
        <v>77</v>
      </c>
      <c r="BB145" s="21" t="s">
        <v>77</v>
      </c>
      <c r="BC145" s="40" t="s">
        <v>77</v>
      </c>
      <c r="BD145" s="41" t="s">
        <v>77</v>
      </c>
      <c r="BE145" s="41" t="s">
        <v>77</v>
      </c>
      <c r="BF145" s="42" t="s">
        <v>77</v>
      </c>
      <c r="BG145" s="40" t="s">
        <v>77</v>
      </c>
      <c r="BH145" s="41" t="s">
        <v>77</v>
      </c>
      <c r="BI145" s="41" t="s">
        <v>77</v>
      </c>
      <c r="BJ145" s="41" t="s">
        <v>77</v>
      </c>
      <c r="BK145" s="216" t="s">
        <v>77</v>
      </c>
      <c r="BL145" s="217" t="s">
        <v>77</v>
      </c>
      <c r="BM145" s="217" t="s">
        <v>77</v>
      </c>
      <c r="BN145" s="217" t="s">
        <v>77</v>
      </c>
      <c r="BO145" s="216" t="s">
        <v>77</v>
      </c>
      <c r="BP145" s="217" t="s">
        <v>77</v>
      </c>
      <c r="BQ145" s="217" t="s">
        <v>77</v>
      </c>
      <c r="BR145" s="217" t="s">
        <v>77</v>
      </c>
      <c r="BS145" s="216" t="s">
        <v>77</v>
      </c>
      <c r="BT145" s="217" t="s">
        <v>77</v>
      </c>
      <c r="BU145" s="217" t="s">
        <v>77</v>
      </c>
      <c r="BV145" s="215" t="s">
        <v>77</v>
      </c>
      <c r="BW145" s="217" t="s">
        <v>77</v>
      </c>
      <c r="BX145" s="217" t="s">
        <v>77</v>
      </c>
      <c r="BY145" s="217" t="s">
        <v>77</v>
      </c>
      <c r="BZ145" s="217" t="s">
        <v>77</v>
      </c>
      <c r="CA145" s="216" t="s">
        <v>77</v>
      </c>
      <c r="CB145" s="217" t="s">
        <v>77</v>
      </c>
      <c r="CC145" s="217" t="s">
        <v>77</v>
      </c>
      <c r="CD145" s="215" t="s">
        <v>77</v>
      </c>
      <c r="CE145" s="216" t="s">
        <v>77</v>
      </c>
      <c r="CF145" s="217" t="s">
        <v>77</v>
      </c>
      <c r="CG145" s="217" t="s">
        <v>77</v>
      </c>
      <c r="CH145" s="215" t="s">
        <v>77</v>
      </c>
      <c r="CI145" s="216" t="s">
        <v>77</v>
      </c>
      <c r="CJ145" s="217" t="s">
        <v>77</v>
      </c>
      <c r="CK145" s="217" t="s">
        <v>77</v>
      </c>
      <c r="CL145" s="215" t="s">
        <v>77</v>
      </c>
      <c r="CM145" s="216"/>
      <c r="CN145" s="217"/>
      <c r="CO145" s="217"/>
      <c r="CP145" s="215"/>
      <c r="CQ145" s="216"/>
      <c r="CR145" s="217"/>
      <c r="CS145" s="217"/>
      <c r="CT145" s="215"/>
      <c r="CU145" s="216"/>
      <c r="CV145" s="217"/>
      <c r="CW145" s="217"/>
      <c r="CX145" s="215"/>
    </row>
    <row r="146" spans="1:119" ht="15" hidden="1" customHeight="1" x14ac:dyDescent="0.25">
      <c r="A146" s="225"/>
      <c r="B146" s="227" t="s">
        <v>78</v>
      </c>
      <c r="C146" s="32">
        <f>+C145/(32.15074)/(C151)</f>
        <v>180.46522748732556</v>
      </c>
      <c r="D146" s="32">
        <f t="shared" ref="D146:AX146" si="321">+D145/(32.15074)/(D151)</f>
        <v>211.60004383659907</v>
      </c>
      <c r="E146" s="32">
        <f t="shared" si="321"/>
        <v>257.23645472510481</v>
      </c>
      <c r="F146" s="32">
        <f t="shared" si="321"/>
        <v>286.99893760064799</v>
      </c>
      <c r="G146" s="32">
        <f t="shared" si="321"/>
        <v>313.39993173426063</v>
      </c>
      <c r="H146" s="32">
        <f t="shared" si="321"/>
        <v>375.12896303333883</v>
      </c>
      <c r="I146" s="32">
        <f t="shared" si="321"/>
        <v>403.19630242919118</v>
      </c>
      <c r="J146" s="32">
        <f t="shared" si="321"/>
        <v>444.74607318077364</v>
      </c>
      <c r="K146" s="32">
        <f t="shared" si="321"/>
        <v>434.47438041681943</v>
      </c>
      <c r="L146" s="32">
        <f t="shared" si="321"/>
        <v>467.83531441772465</v>
      </c>
      <c r="M146" s="32">
        <f t="shared" si="321"/>
        <v>486.53408921663294</v>
      </c>
      <c r="N146" s="32">
        <f t="shared" si="321"/>
        <v>488.52411453186397</v>
      </c>
      <c r="O146" s="32">
        <f t="shared" si="321"/>
        <v>497.45337655874465</v>
      </c>
      <c r="P146" s="32">
        <f t="shared" si="321"/>
        <v>443.40033341509371</v>
      </c>
      <c r="Q146" s="32">
        <f t="shared" si="321"/>
        <v>481.14068969901439</v>
      </c>
      <c r="R146" s="32">
        <f t="shared" si="321"/>
        <v>458.62045645092036</v>
      </c>
      <c r="S146" s="32">
        <f t="shared" si="321"/>
        <v>497.42218392366942</v>
      </c>
      <c r="T146" s="32">
        <f t="shared" si="321"/>
        <v>508.89685189109662</v>
      </c>
      <c r="U146" s="32">
        <f t="shared" si="321"/>
        <v>457.16514814333374</v>
      </c>
      <c r="V146" s="32">
        <f t="shared" si="321"/>
        <v>496.86538640869281</v>
      </c>
      <c r="W146" s="32">
        <f t="shared" si="321"/>
        <v>595.55128495545057</v>
      </c>
      <c r="X146" s="32">
        <f t="shared" si="321"/>
        <v>672.9127314795544</v>
      </c>
      <c r="Y146" s="32">
        <f t="shared" si="321"/>
        <v>649.13898322766761</v>
      </c>
      <c r="Z146" s="32">
        <f t="shared" si="321"/>
        <v>699.12439414740493</v>
      </c>
      <c r="AA146" s="8">
        <f t="shared" si="321"/>
        <v>951.27429351626688</v>
      </c>
      <c r="AB146" s="8">
        <f t="shared" si="321"/>
        <v>664.88480530814832</v>
      </c>
      <c r="AC146" s="8">
        <f t="shared" si="321"/>
        <v>830.31956542137686</v>
      </c>
      <c r="AD146" s="8">
        <f t="shared" si="321"/>
        <v>619.92501637612656</v>
      </c>
      <c r="AE146" s="8">
        <f t="shared" si="321"/>
        <v>813.20836108056676</v>
      </c>
      <c r="AF146" s="8">
        <f t="shared" si="321"/>
        <v>816.56263931370017</v>
      </c>
      <c r="AG146" s="8">
        <f t="shared" si="321"/>
        <v>857.51346738949758</v>
      </c>
      <c r="AH146" s="8">
        <f t="shared" si="321"/>
        <v>916.76591134137414</v>
      </c>
      <c r="AI146" s="8">
        <f t="shared" si="321"/>
        <v>1138.2482801859653</v>
      </c>
      <c r="AJ146" s="8">
        <f t="shared" si="321"/>
        <v>1077.0213449746448</v>
      </c>
      <c r="AK146" s="8">
        <f t="shared" si="321"/>
        <v>1018.6257696773292</v>
      </c>
      <c r="AL146" s="8">
        <f t="shared" si="321"/>
        <v>1118.2812449055743</v>
      </c>
      <c r="AM146" s="8">
        <f t="shared" si="321"/>
        <v>1337.596206424455</v>
      </c>
      <c r="AN146" s="8">
        <f t="shared" si="321"/>
        <v>1170.3631038616725</v>
      </c>
      <c r="AO146" s="8">
        <f t="shared" si="321"/>
        <v>1324.5566874698141</v>
      </c>
      <c r="AP146" s="8">
        <f t="shared" si="321"/>
        <v>1043.862393893301</v>
      </c>
      <c r="AQ146" s="8">
        <f t="shared" si="321"/>
        <v>1235.213659600113</v>
      </c>
      <c r="AR146" s="8">
        <f t="shared" si="321"/>
        <v>1341.6894332472705</v>
      </c>
      <c r="AS146" s="8">
        <f t="shared" si="321"/>
        <v>1388.1877818014857</v>
      </c>
      <c r="AT146" s="8">
        <f t="shared" si="321"/>
        <v>1728.0337604758381</v>
      </c>
      <c r="AU146" s="8">
        <f t="shared" si="321"/>
        <v>1603.9026145297632</v>
      </c>
      <c r="AV146" s="8">
        <f t="shared" si="321"/>
        <v>1285.4515132221345</v>
      </c>
      <c r="AW146" s="8">
        <f t="shared" si="321"/>
        <v>1002.9454923208493</v>
      </c>
      <c r="AX146" s="8">
        <f t="shared" si="321"/>
        <v>994.12332271198727</v>
      </c>
      <c r="AY146" s="19" t="s">
        <v>77</v>
      </c>
      <c r="AZ146" s="20" t="s">
        <v>77</v>
      </c>
      <c r="BA146" s="20" t="s">
        <v>77</v>
      </c>
      <c r="BB146" s="21" t="s">
        <v>77</v>
      </c>
      <c r="BC146" s="40" t="s">
        <v>77</v>
      </c>
      <c r="BD146" s="41" t="s">
        <v>77</v>
      </c>
      <c r="BE146" s="41" t="s">
        <v>77</v>
      </c>
      <c r="BF146" s="42" t="s">
        <v>77</v>
      </c>
      <c r="BG146" s="40" t="s">
        <v>77</v>
      </c>
      <c r="BH146" s="41" t="s">
        <v>77</v>
      </c>
      <c r="BI146" s="41" t="s">
        <v>77</v>
      </c>
      <c r="BJ146" s="41" t="s">
        <v>77</v>
      </c>
      <c r="BK146" s="216" t="s">
        <v>77</v>
      </c>
      <c r="BL146" s="217" t="s">
        <v>77</v>
      </c>
      <c r="BM146" s="217" t="s">
        <v>77</v>
      </c>
      <c r="BN146" s="217" t="s">
        <v>77</v>
      </c>
      <c r="BO146" s="216" t="s">
        <v>77</v>
      </c>
      <c r="BP146" s="217" t="s">
        <v>77</v>
      </c>
      <c r="BQ146" s="217" t="s">
        <v>77</v>
      </c>
      <c r="BR146" s="217" t="s">
        <v>77</v>
      </c>
      <c r="BS146" s="216" t="s">
        <v>77</v>
      </c>
      <c r="BT146" s="217" t="s">
        <v>77</v>
      </c>
      <c r="BU146" s="217" t="s">
        <v>77</v>
      </c>
      <c r="BV146" s="215" t="s">
        <v>77</v>
      </c>
      <c r="BW146" s="217" t="s">
        <v>77</v>
      </c>
      <c r="BX146" s="217" t="s">
        <v>77</v>
      </c>
      <c r="BY146" s="217" t="s">
        <v>77</v>
      </c>
      <c r="BZ146" s="217" t="s">
        <v>77</v>
      </c>
      <c r="CA146" s="216" t="s">
        <v>77</v>
      </c>
      <c r="CB146" s="217" t="s">
        <v>77</v>
      </c>
      <c r="CC146" s="217" t="s">
        <v>77</v>
      </c>
      <c r="CD146" s="215" t="s">
        <v>77</v>
      </c>
      <c r="CE146" s="216" t="s">
        <v>77</v>
      </c>
      <c r="CF146" s="217" t="s">
        <v>77</v>
      </c>
      <c r="CG146" s="217" t="s">
        <v>77</v>
      </c>
      <c r="CH146" s="215" t="s">
        <v>77</v>
      </c>
      <c r="CI146" s="216" t="s">
        <v>77</v>
      </c>
      <c r="CJ146" s="217" t="s">
        <v>77</v>
      </c>
      <c r="CK146" s="217" t="s">
        <v>77</v>
      </c>
      <c r="CL146" s="215" t="s">
        <v>77</v>
      </c>
      <c r="CM146" s="216"/>
      <c r="CN146" s="217"/>
      <c r="CO146" s="217"/>
      <c r="CP146" s="215"/>
      <c r="CQ146" s="216"/>
      <c r="CR146" s="217"/>
      <c r="CS146" s="217"/>
      <c r="CT146" s="215"/>
      <c r="CU146" s="216"/>
      <c r="CV146" s="217"/>
      <c r="CW146" s="217"/>
      <c r="CX146" s="215"/>
    </row>
    <row r="147" spans="1:119" x14ac:dyDescent="0.25">
      <c r="A147" s="225"/>
      <c r="B147" s="227" t="s">
        <v>79</v>
      </c>
      <c r="C147" s="171"/>
      <c r="D147" s="171"/>
      <c r="E147" s="171"/>
      <c r="F147" s="171"/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  <c r="T147" s="171"/>
      <c r="U147" s="171"/>
      <c r="V147" s="171"/>
      <c r="W147" s="171"/>
      <c r="X147" s="171"/>
      <c r="Y147" s="171"/>
      <c r="Z147" s="171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925">
        <v>286651</v>
      </c>
      <c r="AN147" s="925"/>
      <c r="AO147" s="925"/>
      <c r="AP147" s="925"/>
      <c r="AQ147" s="925">
        <v>342539</v>
      </c>
      <c r="AR147" s="925"/>
      <c r="AS147" s="925">
        <v>426348</v>
      </c>
      <c r="AT147" s="925"/>
      <c r="AU147" s="8">
        <v>469144</v>
      </c>
      <c r="AV147" s="8">
        <v>396271</v>
      </c>
      <c r="AW147" s="8">
        <v>337624</v>
      </c>
      <c r="AX147" s="8">
        <v>339507</v>
      </c>
      <c r="AY147" s="10">
        <v>382876</v>
      </c>
      <c r="AZ147" s="8">
        <v>385354</v>
      </c>
      <c r="BA147" s="8">
        <v>379878</v>
      </c>
      <c r="BB147" s="9">
        <v>362221</v>
      </c>
      <c r="BC147" s="34">
        <v>501500</v>
      </c>
      <c r="BD147" s="32">
        <v>386486</v>
      </c>
      <c r="BE147" s="32">
        <v>384364</v>
      </c>
      <c r="BF147" s="33">
        <v>393981</v>
      </c>
      <c r="BG147" s="34">
        <v>463729</v>
      </c>
      <c r="BH147" s="32">
        <v>441786</v>
      </c>
      <c r="BI147" s="32">
        <v>462162</v>
      </c>
      <c r="BJ147" s="32">
        <v>445045</v>
      </c>
      <c r="BK147" s="213">
        <v>486871</v>
      </c>
      <c r="BL147" s="214">
        <v>521977</v>
      </c>
      <c r="BM147" s="214">
        <v>498748</v>
      </c>
      <c r="BN147" s="259">
        <v>504378</v>
      </c>
      <c r="BO147" s="213">
        <v>557958</v>
      </c>
      <c r="BP147" s="214">
        <v>475951</v>
      </c>
      <c r="BQ147" s="214">
        <v>528882</v>
      </c>
      <c r="BR147" s="214">
        <v>537066</v>
      </c>
      <c r="BS147" s="213">
        <v>1104806</v>
      </c>
      <c r="BT147" s="214">
        <v>894135</v>
      </c>
      <c r="BU147" s="214">
        <v>552679</v>
      </c>
      <c r="BV147" s="259">
        <v>563908</v>
      </c>
      <c r="BW147" s="214">
        <v>746621</v>
      </c>
      <c r="BX147" s="214">
        <v>976403</v>
      </c>
      <c r="BY147" s="214">
        <v>847561</v>
      </c>
      <c r="BZ147" s="214">
        <v>782538</v>
      </c>
      <c r="CA147" s="213">
        <v>882082</v>
      </c>
      <c r="CB147" s="214">
        <v>863395</v>
      </c>
      <c r="CC147" s="214">
        <v>825593</v>
      </c>
      <c r="CD147" s="259">
        <v>869753</v>
      </c>
      <c r="CE147" s="213">
        <v>4188679</v>
      </c>
      <c r="CF147" s="214">
        <v>7264151</v>
      </c>
      <c r="CG147" s="214">
        <v>1424025</v>
      </c>
      <c r="CH147" s="259">
        <v>924572</v>
      </c>
      <c r="CI147" s="213">
        <v>1033135</v>
      </c>
      <c r="CJ147" s="214">
        <v>1064022</v>
      </c>
      <c r="CK147" s="214">
        <v>1343011</v>
      </c>
      <c r="CL147" s="259">
        <v>993852</v>
      </c>
      <c r="CM147" s="213">
        <v>1112112</v>
      </c>
      <c r="CN147" s="214">
        <v>1323718</v>
      </c>
      <c r="CO147" s="214">
        <v>1384437</v>
      </c>
      <c r="CP147" s="259">
        <v>1117920</v>
      </c>
      <c r="CQ147" s="213">
        <v>1241150</v>
      </c>
      <c r="CR147" s="214">
        <v>1524611</v>
      </c>
      <c r="CS147" s="214">
        <v>1397810</v>
      </c>
      <c r="CT147" s="259">
        <v>1519438</v>
      </c>
      <c r="CU147" s="213">
        <v>1617230</v>
      </c>
      <c r="CV147" s="214">
        <v>1804640</v>
      </c>
      <c r="CW147" s="214"/>
      <c r="CX147" s="259"/>
    </row>
    <row r="148" spans="1:119" x14ac:dyDescent="0.25">
      <c r="A148" s="225"/>
      <c r="B148" s="227" t="s">
        <v>80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P148" s="171"/>
      <c r="Q148" s="171"/>
      <c r="R148" s="171"/>
      <c r="S148" s="171"/>
      <c r="T148" s="171"/>
      <c r="U148" s="171"/>
      <c r="V148" s="171"/>
      <c r="W148" s="171"/>
      <c r="X148" s="171"/>
      <c r="Y148" s="171"/>
      <c r="Z148" s="171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925">
        <v>1235</v>
      </c>
      <c r="AN148" s="925"/>
      <c r="AO148" s="925"/>
      <c r="AP148" s="925"/>
      <c r="AQ148" s="925">
        <v>1345</v>
      </c>
      <c r="AR148" s="925"/>
      <c r="AS148" s="925">
        <v>1566</v>
      </c>
      <c r="AT148" s="925"/>
      <c r="AU148" s="8">
        <f t="shared" ref="AU148:BH148" si="322">+AU147/(32.15074)/(AU151)</f>
        <v>1641.3962318461136</v>
      </c>
      <c r="AV148" s="8">
        <f t="shared" si="322"/>
        <v>1309.820230943898</v>
      </c>
      <c r="AW148" s="8">
        <f t="shared" si="322"/>
        <v>1052.2327050711892</v>
      </c>
      <c r="AX148" s="8">
        <f t="shared" si="322"/>
        <v>1044.4955742226211</v>
      </c>
      <c r="AY148" s="10">
        <f t="shared" si="322"/>
        <v>1100.6263601040064</v>
      </c>
      <c r="AZ148" s="8">
        <f t="shared" si="322"/>
        <v>1138.2575163896113</v>
      </c>
      <c r="BA148" s="8">
        <f t="shared" si="322"/>
        <v>1102.1948669615358</v>
      </c>
      <c r="BB148" s="9">
        <f t="shared" si="322"/>
        <v>1005.9227474790849</v>
      </c>
      <c r="BC148" s="34">
        <f t="shared" si="322"/>
        <v>1333.1963078687418</v>
      </c>
      <c r="BD148" s="32">
        <f t="shared" si="322"/>
        <v>995.94538446675119</v>
      </c>
      <c r="BE148" s="32">
        <f t="shared" si="322"/>
        <v>919.61993840457603</v>
      </c>
      <c r="BF148" s="33">
        <f t="shared" si="322"/>
        <v>862.36322285417998</v>
      </c>
      <c r="BG148" s="34">
        <f t="shared" si="322"/>
        <v>913.46340340908444</v>
      </c>
      <c r="BH148" s="32">
        <f t="shared" si="322"/>
        <v>917.90804335114467</v>
      </c>
      <c r="BI148" s="32">
        <f>+BI147/(32.15074)/(BI151)+1</f>
        <v>1023.3931708197781</v>
      </c>
      <c r="BJ148" s="32">
        <f>+BJ147/(32.15074)/(BJ151)</f>
        <v>997.29464413311871</v>
      </c>
      <c r="BK148" s="213">
        <f>+BK147/(32.15074)/(BK151)</f>
        <v>1146.3576038603094</v>
      </c>
      <c r="BL148" s="214">
        <f t="shared" ref="BL148:BQ148" si="323">+BL147/(32.15074)/(BL151)</f>
        <v>1229.947183835026</v>
      </c>
      <c r="BM148" s="214">
        <f t="shared" si="323"/>
        <v>1176.9954488939788</v>
      </c>
      <c r="BN148" s="259">
        <f t="shared" si="323"/>
        <v>1150.984051840308</v>
      </c>
      <c r="BO148" s="213">
        <f t="shared" si="323"/>
        <v>1451.0399041814655</v>
      </c>
      <c r="BP148" s="214">
        <f t="shared" si="323"/>
        <v>1170.2556451340515</v>
      </c>
      <c r="BQ148" s="214">
        <f t="shared" si="323"/>
        <v>1170.8236567832953</v>
      </c>
      <c r="BR148" s="214">
        <f>+BR147/(32.15074)/(BR151)+1</f>
        <v>1168.3391533153792</v>
      </c>
      <c r="BS148" s="213">
        <f t="shared" ref="BS148:BX148" si="324">+BS147/(32.15074)/(BS151)</f>
        <v>2452.7705075069475</v>
      </c>
      <c r="BT148" s="214">
        <f t="shared" si="324"/>
        <v>1932.6416199093812</v>
      </c>
      <c r="BU148" s="214">
        <f t="shared" si="324"/>
        <v>1171.7956350672703</v>
      </c>
      <c r="BV148" s="259">
        <f t="shared" si="324"/>
        <v>1191.5423219280287</v>
      </c>
      <c r="BW148" s="214">
        <f t="shared" si="324"/>
        <v>1509.9163651767756</v>
      </c>
      <c r="BX148" s="214">
        <f t="shared" si="324"/>
        <v>1691.8960592013336</v>
      </c>
      <c r="BY148" s="214">
        <f t="shared" ref="BY148:BZ148" si="325">+BY147/(32.15074)/(BY151)</f>
        <v>1558.9650671821792</v>
      </c>
      <c r="BZ148" s="214">
        <f t="shared" si="325"/>
        <v>1559.2349456044137</v>
      </c>
      <c r="CA148" s="213">
        <f t="shared" ref="CA148:CB148" si="326">+CA147/(32.15074)/(CA151)</f>
        <v>1833.9453628364186</v>
      </c>
      <c r="CB148" s="214">
        <f t="shared" si="326"/>
        <v>1900.5372850899935</v>
      </c>
      <c r="CC148" s="214">
        <f t="shared" ref="CC148:CF148" si="327">+CC147/(32.15074)/(CC151)</f>
        <v>1755.2165391735459</v>
      </c>
      <c r="CD148" s="259">
        <f t="shared" si="327"/>
        <v>1754.3675605848875</v>
      </c>
      <c r="CE148" s="213">
        <f t="shared" si="327"/>
        <v>8559.9544491982379</v>
      </c>
      <c r="CF148" s="214">
        <f t="shared" si="327"/>
        <v>14492.649022542639</v>
      </c>
      <c r="CG148" s="214">
        <f t="shared" ref="CG148:CJ148" si="328">+CG147/(32.15074)/(CG151)</f>
        <v>2597.7793313384868</v>
      </c>
      <c r="CH148" s="259">
        <f t="shared" si="328"/>
        <v>1633.0158788912277</v>
      </c>
      <c r="CI148" s="213">
        <f t="shared" si="328"/>
        <v>1809.3523124433764</v>
      </c>
      <c r="CJ148" s="214">
        <f t="shared" si="328"/>
        <v>1773.5686148549034</v>
      </c>
      <c r="CK148" s="214">
        <f t="shared" ref="CK148:CP148" si="329">+CK147/(32.15074)/(CK151)</f>
        <v>2247.0317383017323</v>
      </c>
      <c r="CL148" s="259">
        <f t="shared" si="329"/>
        <v>1657.4937769560152</v>
      </c>
      <c r="CM148" s="213">
        <f t="shared" si="329"/>
        <v>1834.0698228048946</v>
      </c>
      <c r="CN148" s="214">
        <f t="shared" si="329"/>
        <v>2217.137345962642</v>
      </c>
      <c r="CO148" s="214">
        <f t="shared" si="329"/>
        <v>2397.59537350748</v>
      </c>
      <c r="CP148" s="259">
        <f t="shared" si="329"/>
        <v>1944.6983158983558</v>
      </c>
      <c r="CQ148" s="213">
        <f t="shared" ref="CQ148:CT148" si="330">+CQ147/(32.15074)/(CQ151)</f>
        <v>2088.9658072192597</v>
      </c>
      <c r="CR148" s="214">
        <f t="shared" si="330"/>
        <v>2592.7125508975555</v>
      </c>
      <c r="CS148" s="214">
        <f t="shared" si="330"/>
        <v>2464.6689222461259</v>
      </c>
      <c r="CT148" s="259">
        <f t="shared" si="330"/>
        <v>2762.116553919182</v>
      </c>
      <c r="CU148" s="213">
        <f t="shared" ref="CU148:CX148" si="331">+CU147/(32.15074)/(CU151)</f>
        <v>3078.4263195971948</v>
      </c>
      <c r="CV148" s="214">
        <f t="shared" si="331"/>
        <v>3405.9823932180734</v>
      </c>
      <c r="CW148" s="214" t="e">
        <f t="shared" si="331"/>
        <v>#DIV/0!</v>
      </c>
      <c r="CX148" s="259" t="e">
        <f t="shared" si="331"/>
        <v>#DIV/0!</v>
      </c>
    </row>
    <row r="149" spans="1:119" x14ac:dyDescent="0.25">
      <c r="A149" s="225"/>
      <c r="B149" s="227" t="s">
        <v>81</v>
      </c>
      <c r="C149" s="171"/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925">
        <f>+AM147</f>
        <v>286651</v>
      </c>
      <c r="AN149" s="925"/>
      <c r="AO149" s="925"/>
      <c r="AP149" s="925"/>
      <c r="AQ149" s="925">
        <f>+AQ147</f>
        <v>342539</v>
      </c>
      <c r="AR149" s="925"/>
      <c r="AS149" s="925">
        <f>+AS147</f>
        <v>426348</v>
      </c>
      <c r="AT149" s="925"/>
      <c r="AU149" s="8">
        <f>+AU147</f>
        <v>469144</v>
      </c>
      <c r="AV149" s="8">
        <f>+AV147</f>
        <v>396271</v>
      </c>
      <c r="AW149" s="8">
        <f>+AW147</f>
        <v>337624</v>
      </c>
      <c r="AX149" s="8">
        <f>+AX147</f>
        <v>339507</v>
      </c>
      <c r="AY149" s="10">
        <f>+AY147</f>
        <v>382876</v>
      </c>
      <c r="AZ149" s="8">
        <v>385354</v>
      </c>
      <c r="BA149" s="8">
        <f>+BA147</f>
        <v>379878</v>
      </c>
      <c r="BB149" s="9">
        <v>365555</v>
      </c>
      <c r="BC149" s="34">
        <v>501500</v>
      </c>
      <c r="BD149" s="32">
        <v>386486</v>
      </c>
      <c r="BE149" s="32">
        <v>384364</v>
      </c>
      <c r="BF149" s="33">
        <v>393981</v>
      </c>
      <c r="BG149" s="34">
        <v>463729</v>
      </c>
      <c r="BH149" s="32">
        <v>441903</v>
      </c>
      <c r="BI149" s="32">
        <v>462201</v>
      </c>
      <c r="BJ149" s="32">
        <v>446710</v>
      </c>
      <c r="BK149" s="213">
        <v>486871</v>
      </c>
      <c r="BL149" s="214">
        <v>522067</v>
      </c>
      <c r="BM149" s="214">
        <v>499458</v>
      </c>
      <c r="BN149" s="259">
        <v>504651</v>
      </c>
      <c r="BO149" s="213">
        <v>558010</v>
      </c>
      <c r="BP149" s="214">
        <v>476032</v>
      </c>
      <c r="BQ149" s="214">
        <v>528882</v>
      </c>
      <c r="BR149" s="214">
        <v>537802</v>
      </c>
      <c r="BS149" s="213">
        <v>1105340</v>
      </c>
      <c r="BT149" s="214">
        <v>894423</v>
      </c>
      <c r="BU149" s="214">
        <v>552932</v>
      </c>
      <c r="BV149" s="259">
        <v>564315</v>
      </c>
      <c r="BW149" s="214">
        <v>746746</v>
      </c>
      <c r="BX149" s="214">
        <v>976403</v>
      </c>
      <c r="BY149" s="214">
        <v>847561</v>
      </c>
      <c r="BZ149" s="214">
        <v>782538</v>
      </c>
      <c r="CA149" s="213">
        <v>882082</v>
      </c>
      <c r="CB149" s="214">
        <v>863395</v>
      </c>
      <c r="CC149" s="214">
        <v>826625</v>
      </c>
      <c r="CD149" s="259">
        <v>872840</v>
      </c>
      <c r="CE149" s="213">
        <v>4213836</v>
      </c>
      <c r="CF149" s="214">
        <v>7264151</v>
      </c>
      <c r="CG149" s="214">
        <v>1424025</v>
      </c>
      <c r="CH149" s="259">
        <v>924572</v>
      </c>
      <c r="CI149" s="213">
        <v>1033135</v>
      </c>
      <c r="CJ149" s="214">
        <v>1064022</v>
      </c>
      <c r="CK149" s="214">
        <v>1343011</v>
      </c>
      <c r="CL149" s="259">
        <v>993852</v>
      </c>
      <c r="CM149" s="213">
        <v>1112112</v>
      </c>
      <c r="CN149" s="214">
        <v>1323718</v>
      </c>
      <c r="CO149" s="214">
        <v>1384437</v>
      </c>
      <c r="CP149" s="259">
        <v>1117920</v>
      </c>
      <c r="CQ149" s="213">
        <v>1241150</v>
      </c>
      <c r="CR149" s="214">
        <v>1524611</v>
      </c>
      <c r="CS149" s="214">
        <v>1397810</v>
      </c>
      <c r="CT149" s="259">
        <v>1519438</v>
      </c>
      <c r="CU149" s="213">
        <v>1617230</v>
      </c>
      <c r="CV149" s="214">
        <v>1804640</v>
      </c>
      <c r="CW149" s="214"/>
      <c r="CX149" s="259"/>
    </row>
    <row r="150" spans="1:119" x14ac:dyDescent="0.25">
      <c r="A150" s="225"/>
      <c r="B150" s="227" t="s">
        <v>82</v>
      </c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  <c r="T150" s="171"/>
      <c r="U150" s="171"/>
      <c r="V150" s="171"/>
      <c r="W150" s="171"/>
      <c r="X150" s="171"/>
      <c r="Y150" s="171"/>
      <c r="Z150" s="171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925">
        <f>+AM148</f>
        <v>1235</v>
      </c>
      <c r="AN150" s="925"/>
      <c r="AO150" s="925"/>
      <c r="AP150" s="925"/>
      <c r="AQ150" s="925">
        <f>+AQ148</f>
        <v>1345</v>
      </c>
      <c r="AR150" s="925"/>
      <c r="AS150" s="925">
        <f>+AS148</f>
        <v>1566</v>
      </c>
      <c r="AT150" s="925"/>
      <c r="AU150" s="8">
        <f t="shared" ref="AU150:BH150" si="332">+AU149/(32.15074)/(AU151)</f>
        <v>1641.3962318461136</v>
      </c>
      <c r="AV150" s="8">
        <f t="shared" si="332"/>
        <v>1309.820230943898</v>
      </c>
      <c r="AW150" s="8">
        <f t="shared" si="332"/>
        <v>1052.2327050711892</v>
      </c>
      <c r="AX150" s="8">
        <f t="shared" si="332"/>
        <v>1044.4955742226211</v>
      </c>
      <c r="AY150" s="10">
        <f t="shared" si="332"/>
        <v>1100.6263601040064</v>
      </c>
      <c r="AZ150" s="8">
        <f t="shared" si="332"/>
        <v>1138.2575163896113</v>
      </c>
      <c r="BA150" s="8">
        <f t="shared" si="332"/>
        <v>1102.1948669615358</v>
      </c>
      <c r="BB150" s="9">
        <f t="shared" si="332"/>
        <v>1015.1815879110183</v>
      </c>
      <c r="BC150" s="34">
        <f t="shared" si="332"/>
        <v>1333.1963078687418</v>
      </c>
      <c r="BD150" s="32">
        <f t="shared" si="332"/>
        <v>995.94538446675119</v>
      </c>
      <c r="BE150" s="32">
        <f t="shared" si="332"/>
        <v>919.61993840457603</v>
      </c>
      <c r="BF150" s="33">
        <f t="shared" si="332"/>
        <v>862.36322285417998</v>
      </c>
      <c r="BG150" s="34">
        <f t="shared" si="332"/>
        <v>913.46340340908444</v>
      </c>
      <c r="BH150" s="32">
        <f t="shared" si="332"/>
        <v>918.15113670646167</v>
      </c>
      <c r="BI150" s="32">
        <f>+BI149/(32.15074)/(BI151)+1</f>
        <v>1023.4794464842897</v>
      </c>
      <c r="BJ150" s="32">
        <f>+BJ149/(32.15074)/(BJ151)</f>
        <v>1001.0257175807064</v>
      </c>
      <c r="BK150" s="213">
        <f>+BK149/(32.15074)/(BK151)</f>
        <v>1146.3576038603094</v>
      </c>
      <c r="BL150" s="214">
        <f>+BL149/(32.15074)/(BL151)</f>
        <v>1230.1592530383532</v>
      </c>
      <c r="BM150" s="214">
        <f>+BM149/(32.15074)/(BM151)</f>
        <v>1178.67097795618</v>
      </c>
      <c r="BN150" s="259">
        <f>+BN149/(32.15074)/(BN151)-1</f>
        <v>1150.6070342982116</v>
      </c>
      <c r="BO150" s="213">
        <f t="shared" ref="BO150:BV150" si="333">+BO149/(32.15074)/(BO151)</f>
        <v>1451.1751367169204</v>
      </c>
      <c r="BP150" s="214">
        <f t="shared" si="333"/>
        <v>1170.4548057771763</v>
      </c>
      <c r="BQ150" s="214">
        <f t="shared" si="333"/>
        <v>1170.8236567832953</v>
      </c>
      <c r="BR150" s="214">
        <f t="shared" si="333"/>
        <v>1168.9388852232642</v>
      </c>
      <c r="BS150" s="213">
        <f t="shared" si="333"/>
        <v>2453.956036415198</v>
      </c>
      <c r="BT150" s="214">
        <f t="shared" si="333"/>
        <v>1933.2641218654996</v>
      </c>
      <c r="BU150" s="214">
        <f t="shared" si="333"/>
        <v>1172.3320482396034</v>
      </c>
      <c r="BV150" s="259">
        <f t="shared" si="333"/>
        <v>1192.4023163331881</v>
      </c>
      <c r="BW150" s="214">
        <f t="shared" ref="BW150:BX150" si="334">+BW149/(32.15074)/(BW151)</f>
        <v>1510.1691568148985</v>
      </c>
      <c r="BX150" s="214">
        <f t="shared" si="334"/>
        <v>1691.8960592013336</v>
      </c>
      <c r="BY150" s="214">
        <f t="shared" ref="BY150:BZ150" si="335">+BY149/(32.15074)/(BY151)</f>
        <v>1558.9650671821792</v>
      </c>
      <c r="BZ150" s="214">
        <f t="shared" si="335"/>
        <v>1559.2349456044137</v>
      </c>
      <c r="CA150" s="213">
        <f t="shared" ref="CA150:CB150" si="336">+CA149/(32.15074)/(CA151)</f>
        <v>1833.9453628364186</v>
      </c>
      <c r="CB150" s="214">
        <f t="shared" si="336"/>
        <v>1900.5372850899935</v>
      </c>
      <c r="CC150" s="214">
        <f t="shared" ref="CC150:CF150" si="337">+CC149/(32.15074)/(CC151)</f>
        <v>1757.4105784500746</v>
      </c>
      <c r="CD150" s="259">
        <f t="shared" si="337"/>
        <v>1760.5943084771345</v>
      </c>
      <c r="CE150" s="213">
        <f t="shared" si="337"/>
        <v>8611.3651144887699</v>
      </c>
      <c r="CF150" s="214">
        <f t="shared" si="337"/>
        <v>14492.649022542639</v>
      </c>
      <c r="CG150" s="214">
        <f t="shared" ref="CG150:CJ150" si="338">+CG149/(32.15074)/(CG151)</f>
        <v>2597.7793313384868</v>
      </c>
      <c r="CH150" s="259">
        <f t="shared" si="338"/>
        <v>1633.0158788912277</v>
      </c>
      <c r="CI150" s="213">
        <f t="shared" si="338"/>
        <v>1809.3523124433764</v>
      </c>
      <c r="CJ150" s="214">
        <f t="shared" si="338"/>
        <v>1773.5686148549034</v>
      </c>
      <c r="CK150" s="214">
        <f t="shared" ref="CK150:CP150" si="339">+CK149/(32.15074)/(CK151)</f>
        <v>2247.0317383017323</v>
      </c>
      <c r="CL150" s="259">
        <f t="shared" si="339"/>
        <v>1657.4937769560152</v>
      </c>
      <c r="CM150" s="213">
        <f t="shared" si="339"/>
        <v>1834.0698228048946</v>
      </c>
      <c r="CN150" s="214">
        <f t="shared" si="339"/>
        <v>2217.137345962642</v>
      </c>
      <c r="CO150" s="214">
        <f t="shared" si="339"/>
        <v>2397.59537350748</v>
      </c>
      <c r="CP150" s="259">
        <f t="shared" si="339"/>
        <v>1944.6983158983558</v>
      </c>
      <c r="CQ150" s="213">
        <f t="shared" ref="CQ150:CT150" si="340">+CQ149/(32.15074)/(CQ151)</f>
        <v>2088.9658072192597</v>
      </c>
      <c r="CR150" s="214">
        <f t="shared" si="340"/>
        <v>2592.7125508975555</v>
      </c>
      <c r="CS150" s="214">
        <f t="shared" si="340"/>
        <v>2464.6689222461259</v>
      </c>
      <c r="CT150" s="259">
        <f t="shared" si="340"/>
        <v>2762.116553919182</v>
      </c>
      <c r="CU150" s="213">
        <f t="shared" ref="CU150:CX150" si="341">+CU149/(32.15074)/(CU151)</f>
        <v>3078.4263195971948</v>
      </c>
      <c r="CV150" s="214">
        <f t="shared" si="341"/>
        <v>3405.9823932180734</v>
      </c>
      <c r="CW150" s="214" t="e">
        <f t="shared" si="341"/>
        <v>#DIV/0!</v>
      </c>
      <c r="CX150" s="259" t="e">
        <f t="shared" si="341"/>
        <v>#DIV/0!</v>
      </c>
    </row>
    <row r="151" spans="1:119" x14ac:dyDescent="0.25">
      <c r="A151" s="225"/>
      <c r="B151" s="300" t="s">
        <v>83</v>
      </c>
      <c r="C151" s="36">
        <f t="shared" ref="C151:AH151" si="342">+C100</f>
        <v>11.53</v>
      </c>
      <c r="D151" s="36">
        <f t="shared" si="342"/>
        <v>10.51</v>
      </c>
      <c r="E151" s="36">
        <f t="shared" si="342"/>
        <v>10.38</v>
      </c>
      <c r="F151" s="36">
        <f t="shared" si="342"/>
        <v>9.77</v>
      </c>
      <c r="G151" s="36">
        <f t="shared" si="342"/>
        <v>8.3800000000000008</v>
      </c>
      <c r="H151" s="36">
        <f t="shared" si="342"/>
        <v>7.74</v>
      </c>
      <c r="I151" s="36">
        <f t="shared" si="342"/>
        <v>7.44</v>
      </c>
      <c r="J151" s="36">
        <f t="shared" si="342"/>
        <v>6.76</v>
      </c>
      <c r="K151" s="36">
        <f t="shared" si="342"/>
        <v>6.79</v>
      </c>
      <c r="L151" s="36">
        <f t="shared" si="342"/>
        <v>6.6</v>
      </c>
      <c r="M151" s="36">
        <f t="shared" si="342"/>
        <v>6.36</v>
      </c>
      <c r="N151" s="36">
        <f t="shared" si="342"/>
        <v>6.12</v>
      </c>
      <c r="O151" s="36">
        <f t="shared" si="342"/>
        <v>5.95</v>
      </c>
      <c r="P151" s="36">
        <f t="shared" si="342"/>
        <v>6.39</v>
      </c>
      <c r="Q151" s="36">
        <f t="shared" si="342"/>
        <v>6.52</v>
      </c>
      <c r="R151" s="36">
        <f t="shared" si="342"/>
        <v>6.53</v>
      </c>
      <c r="S151" s="36">
        <f t="shared" si="342"/>
        <v>6.14</v>
      </c>
      <c r="T151" s="36">
        <f t="shared" si="342"/>
        <v>6.39</v>
      </c>
      <c r="U151" s="36">
        <f t="shared" si="342"/>
        <v>7.1</v>
      </c>
      <c r="V151" s="36">
        <f t="shared" si="342"/>
        <v>7.38</v>
      </c>
      <c r="W151" s="36">
        <f t="shared" si="342"/>
        <v>7.21</v>
      </c>
      <c r="X151" s="36">
        <f t="shared" si="342"/>
        <v>7.09</v>
      </c>
      <c r="Y151" s="36">
        <f t="shared" si="342"/>
        <v>7.1</v>
      </c>
      <c r="Z151" s="36">
        <f t="shared" si="342"/>
        <v>6.76</v>
      </c>
      <c r="AA151" s="12">
        <f t="shared" si="342"/>
        <v>7.45</v>
      </c>
      <c r="AB151" s="12">
        <f t="shared" si="342"/>
        <v>7.77</v>
      </c>
      <c r="AC151" s="12">
        <f t="shared" si="342"/>
        <v>7.74</v>
      </c>
      <c r="AD151" s="12">
        <f t="shared" si="342"/>
        <v>9.82</v>
      </c>
      <c r="AE151" s="12">
        <f t="shared" si="342"/>
        <v>9.93</v>
      </c>
      <c r="AF151" s="12">
        <f t="shared" si="342"/>
        <v>8.56</v>
      </c>
      <c r="AG151" s="12">
        <f t="shared" si="342"/>
        <v>7.82</v>
      </c>
      <c r="AH151" s="12">
        <f t="shared" si="342"/>
        <v>7.49</v>
      </c>
      <c r="AI151" s="12">
        <f t="shared" ref="AI151:BJ151" si="343">+AI100</f>
        <v>7.5</v>
      </c>
      <c r="AJ151" s="12">
        <f t="shared" si="343"/>
        <v>7.51</v>
      </c>
      <c r="AK151" s="12">
        <f t="shared" si="343"/>
        <v>7.36</v>
      </c>
      <c r="AL151" s="12">
        <f t="shared" si="343"/>
        <v>6.92</v>
      </c>
      <c r="AM151" s="12">
        <f t="shared" si="343"/>
        <v>6.98</v>
      </c>
      <c r="AN151" s="12">
        <f t="shared" si="343"/>
        <v>6.78</v>
      </c>
      <c r="AO151" s="12">
        <f t="shared" si="343"/>
        <v>7.05</v>
      </c>
      <c r="AP151" s="12">
        <f t="shared" si="343"/>
        <v>8.08</v>
      </c>
      <c r="AQ151" s="12">
        <f t="shared" si="343"/>
        <v>7.77</v>
      </c>
      <c r="AR151" s="12">
        <f t="shared" si="343"/>
        <v>8.06</v>
      </c>
      <c r="AS151" s="12">
        <f t="shared" si="343"/>
        <v>8.26</v>
      </c>
      <c r="AT151" s="12">
        <f t="shared" si="343"/>
        <v>8.67</v>
      </c>
      <c r="AU151" s="12">
        <f t="shared" si="343"/>
        <v>8.89</v>
      </c>
      <c r="AV151" s="12">
        <f t="shared" si="343"/>
        <v>9.41</v>
      </c>
      <c r="AW151" s="12">
        <f t="shared" si="343"/>
        <v>9.98</v>
      </c>
      <c r="AX151" s="12">
        <f t="shared" si="343"/>
        <v>10.11</v>
      </c>
      <c r="AY151" s="11">
        <f t="shared" si="343"/>
        <v>10.82</v>
      </c>
      <c r="AZ151" s="12">
        <f t="shared" si="343"/>
        <v>10.53</v>
      </c>
      <c r="BA151" s="12">
        <f t="shared" si="343"/>
        <v>10.72</v>
      </c>
      <c r="BB151" s="13">
        <f t="shared" si="343"/>
        <v>11.2</v>
      </c>
      <c r="BC151" s="35">
        <f t="shared" si="343"/>
        <v>11.7</v>
      </c>
      <c r="BD151" s="36">
        <f t="shared" si="343"/>
        <v>12.07</v>
      </c>
      <c r="BE151" s="36">
        <f t="shared" si="343"/>
        <v>13</v>
      </c>
      <c r="BF151" s="37">
        <f t="shared" si="343"/>
        <v>14.21</v>
      </c>
      <c r="BG151" s="35">
        <f t="shared" si="343"/>
        <v>15.79</v>
      </c>
      <c r="BH151" s="36">
        <f t="shared" si="343"/>
        <v>14.97</v>
      </c>
      <c r="BI151" s="36">
        <f t="shared" si="343"/>
        <v>14.06</v>
      </c>
      <c r="BJ151" s="36">
        <f t="shared" si="343"/>
        <v>13.88</v>
      </c>
      <c r="BK151" s="225">
        <v>13.21</v>
      </c>
      <c r="BL151" s="324">
        <v>13.2</v>
      </c>
      <c r="BM151" s="324">
        <v>13.18</v>
      </c>
      <c r="BN151" s="227">
        <v>13.63</v>
      </c>
      <c r="BO151" s="301">
        <v>11.96</v>
      </c>
      <c r="BP151" s="297">
        <v>12.65</v>
      </c>
      <c r="BQ151" s="297">
        <v>14.05</v>
      </c>
      <c r="BR151" s="297">
        <v>14.31</v>
      </c>
      <c r="BS151" s="301">
        <v>14.01</v>
      </c>
      <c r="BT151" s="297">
        <v>14.39</v>
      </c>
      <c r="BU151" s="297">
        <v>14.67</v>
      </c>
      <c r="BV151" s="302">
        <v>14.72</v>
      </c>
      <c r="BW151" s="297">
        <v>15.38</v>
      </c>
      <c r="BX151" s="297">
        <v>17.95</v>
      </c>
      <c r="BY151" s="297">
        <v>16.91</v>
      </c>
      <c r="BZ151" s="297">
        <v>15.61</v>
      </c>
      <c r="CA151" s="301">
        <v>14.96</v>
      </c>
      <c r="CB151" s="297">
        <v>14.13</v>
      </c>
      <c r="CC151" s="297">
        <v>14.63</v>
      </c>
      <c r="CD151" s="302">
        <v>15.42</v>
      </c>
      <c r="CE151" s="301">
        <v>15.22</v>
      </c>
      <c r="CF151" s="297">
        <v>15.59</v>
      </c>
      <c r="CG151" s="297">
        <v>17.05</v>
      </c>
      <c r="CH151" s="302">
        <v>17.61</v>
      </c>
      <c r="CI151" s="301">
        <v>17.760000000000002</v>
      </c>
      <c r="CJ151" s="297">
        <v>18.66</v>
      </c>
      <c r="CK151" s="297">
        <v>18.59</v>
      </c>
      <c r="CL151" s="326">
        <v>18.649999999999999</v>
      </c>
      <c r="CM151" s="301">
        <v>18.86</v>
      </c>
      <c r="CN151" s="297">
        <v>18.57</v>
      </c>
      <c r="CO151" s="297">
        <v>17.96</v>
      </c>
      <c r="CP151" s="326">
        <v>17.88</v>
      </c>
      <c r="CQ151" s="301">
        <v>18.48</v>
      </c>
      <c r="CR151" s="297">
        <v>18.29</v>
      </c>
      <c r="CS151" s="297">
        <v>17.64</v>
      </c>
      <c r="CT151" s="326">
        <v>17.11</v>
      </c>
      <c r="CU151" s="301">
        <v>16.34</v>
      </c>
      <c r="CV151" s="297">
        <v>16.48</v>
      </c>
      <c r="CW151" s="297"/>
      <c r="CX151" s="326"/>
    </row>
    <row r="152" spans="1:119" x14ac:dyDescent="0.25">
      <c r="A152" s="225"/>
      <c r="B152" s="300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1"/>
      <c r="AZ152" s="12"/>
      <c r="BA152" s="12"/>
      <c r="BB152" s="13"/>
      <c r="BC152" s="35"/>
      <c r="BD152" s="36"/>
      <c r="BE152" s="36"/>
      <c r="BF152" s="37"/>
      <c r="BG152" s="35"/>
      <c r="BH152" s="36"/>
      <c r="BI152" s="36"/>
      <c r="BJ152" s="36"/>
      <c r="BK152" s="225"/>
      <c r="BL152" s="324"/>
      <c r="BM152" s="324"/>
      <c r="BN152" s="227"/>
      <c r="BO152" s="301"/>
      <c r="BP152" s="297"/>
      <c r="BQ152" s="297"/>
      <c r="BR152" s="297"/>
      <c r="BS152" s="301"/>
      <c r="BT152" s="297"/>
      <c r="BU152" s="297"/>
      <c r="BV152" s="302"/>
      <c r="BW152" s="297"/>
      <c r="BX152" s="297"/>
      <c r="BY152" s="297"/>
      <c r="BZ152" s="297"/>
      <c r="CA152" s="301"/>
      <c r="CB152" s="297"/>
      <c r="CC152" s="297"/>
      <c r="CD152" s="302"/>
      <c r="CE152" s="301"/>
      <c r="CF152" s="297"/>
      <c r="CG152" s="297"/>
      <c r="CH152" s="302"/>
      <c r="CI152" s="301"/>
      <c r="CJ152" s="297"/>
      <c r="CK152" s="297"/>
      <c r="CL152" s="302"/>
      <c r="CM152" s="301"/>
      <c r="CN152" s="297"/>
      <c r="CO152" s="297"/>
      <c r="CP152" s="302"/>
      <c r="CQ152" s="301"/>
      <c r="CR152" s="297"/>
      <c r="CS152" s="297"/>
      <c r="CT152" s="302"/>
      <c r="CU152" s="301"/>
      <c r="CV152" s="297"/>
      <c r="CW152" s="297"/>
      <c r="CX152" s="302"/>
    </row>
    <row r="153" spans="1:119" x14ac:dyDescent="0.25">
      <c r="A153" s="307"/>
      <c r="B153" s="305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174"/>
      <c r="AZ153" s="7"/>
      <c r="BA153" s="7"/>
      <c r="BB153" s="175"/>
      <c r="BC153" s="176"/>
      <c r="BD153" s="173"/>
      <c r="BE153" s="177"/>
      <c r="BF153" s="178"/>
      <c r="BG153" s="176"/>
      <c r="BH153" s="177"/>
      <c r="BI153" s="28"/>
      <c r="BJ153" s="28"/>
      <c r="BK153" s="307"/>
      <c r="BL153" s="313"/>
      <c r="BM153" s="313"/>
      <c r="BN153" s="305"/>
      <c r="BO153" s="307"/>
      <c r="BP153" s="313"/>
      <c r="BQ153" s="313"/>
      <c r="BR153" s="313"/>
      <c r="BS153" s="307"/>
      <c r="BT153" s="313"/>
      <c r="BU153" s="313"/>
      <c r="BV153" s="305"/>
      <c r="BW153" s="313"/>
      <c r="BX153" s="313"/>
      <c r="BY153" s="313"/>
      <c r="BZ153" s="313"/>
      <c r="CA153" s="307"/>
      <c r="CB153" s="313"/>
      <c r="CC153" s="313"/>
      <c r="CD153" s="305"/>
      <c r="CE153" s="307"/>
      <c r="CF153" s="313"/>
      <c r="CG153" s="313"/>
      <c r="CH153" s="305"/>
      <c r="CI153" s="307"/>
      <c r="CJ153" s="313"/>
      <c r="CK153" s="313"/>
      <c r="CL153" s="305"/>
      <c r="CM153" s="307"/>
      <c r="CN153" s="313"/>
      <c r="CO153" s="313"/>
      <c r="CP153" s="305"/>
      <c r="CQ153" s="307"/>
      <c r="CR153" s="313"/>
      <c r="CS153" s="313"/>
      <c r="CT153" s="305"/>
      <c r="CU153" s="307"/>
      <c r="CV153" s="313"/>
      <c r="CW153" s="313"/>
      <c r="CX153" s="305"/>
    </row>
    <row r="154" spans="1:119" ht="21" x14ac:dyDescent="0.35">
      <c r="A154" s="166"/>
      <c r="B154" s="165" t="s">
        <v>86</v>
      </c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  <c r="AU154" s="103"/>
      <c r="AV154" s="103"/>
      <c r="AW154" s="103"/>
      <c r="AX154" s="103"/>
      <c r="AY154" s="104"/>
      <c r="AZ154" s="121" t="s">
        <v>88</v>
      </c>
      <c r="BA154" s="121"/>
      <c r="BB154" s="122"/>
      <c r="BC154" s="123"/>
      <c r="BD154" s="121"/>
      <c r="BE154" s="121"/>
      <c r="BF154" s="122"/>
      <c r="BG154" s="123"/>
      <c r="BH154" s="121"/>
      <c r="BI154" s="106"/>
      <c r="BJ154" s="106"/>
      <c r="BK154" s="107"/>
      <c r="BL154" s="106"/>
      <c r="BM154" s="106"/>
      <c r="BN154" s="108"/>
      <c r="BO154" s="107"/>
      <c r="BP154" s="106"/>
      <c r="BQ154" s="106"/>
      <c r="BR154" s="106"/>
      <c r="BS154" s="107"/>
      <c r="BT154" s="106"/>
      <c r="BU154" s="106"/>
      <c r="BV154" s="108"/>
      <c r="BW154" s="106"/>
      <c r="BX154" s="106"/>
      <c r="BY154" s="106"/>
      <c r="BZ154" s="106"/>
      <c r="CA154" s="107"/>
      <c r="CB154" s="106"/>
      <c r="CC154" s="106"/>
      <c r="CD154" s="108"/>
      <c r="CE154" s="107"/>
      <c r="CF154" s="106"/>
      <c r="CG154" s="106"/>
      <c r="CH154" s="108"/>
      <c r="CI154" s="107"/>
      <c r="CJ154" s="106"/>
      <c r="CK154" s="106"/>
      <c r="CL154" s="108"/>
      <c r="CM154" s="107"/>
      <c r="CN154" s="106"/>
      <c r="CO154" s="106"/>
      <c r="CP154" s="108"/>
      <c r="CQ154" s="107"/>
      <c r="CR154" s="106"/>
      <c r="CS154" s="106"/>
      <c r="CT154" s="108"/>
      <c r="CU154" s="107"/>
      <c r="CV154" s="106"/>
      <c r="CW154" s="106"/>
      <c r="CX154" s="108"/>
    </row>
    <row r="155" spans="1:119" x14ac:dyDescent="0.25">
      <c r="A155" s="225"/>
      <c r="B155" s="290" t="s">
        <v>51</v>
      </c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10"/>
      <c r="AZ155">
        <v>1267</v>
      </c>
      <c r="BA155">
        <v>3701</v>
      </c>
      <c r="BB155" s="23">
        <v>4540</v>
      </c>
      <c r="BC155" s="49">
        <v>3602</v>
      </c>
      <c r="BD155" s="50">
        <v>3492</v>
      </c>
      <c r="BE155" s="50">
        <v>3173</v>
      </c>
      <c r="BF155" s="51">
        <v>2656</v>
      </c>
      <c r="BG155" s="49">
        <v>2304</v>
      </c>
      <c r="BH155" s="50">
        <v>1975</v>
      </c>
      <c r="BI155">
        <f>268+1124+226</f>
        <v>1618</v>
      </c>
      <c r="BJ155">
        <f>203+831+0+184</f>
        <v>1218</v>
      </c>
      <c r="BK155" s="225">
        <f>145+717+177</f>
        <v>1039</v>
      </c>
      <c r="BL155" s="208">
        <f>106+457+186</f>
        <v>749</v>
      </c>
      <c r="BM155" s="208">
        <f>11+61</f>
        <v>72</v>
      </c>
      <c r="BN155" s="227">
        <v>50</v>
      </c>
      <c r="BO155" s="213">
        <v>0</v>
      </c>
      <c r="BP155" s="214">
        <v>0</v>
      </c>
      <c r="BQ155" s="214">
        <v>0</v>
      </c>
      <c r="BR155" s="214">
        <v>0</v>
      </c>
      <c r="BS155" s="213">
        <v>0</v>
      </c>
      <c r="BT155" s="214">
        <v>0</v>
      </c>
      <c r="BU155" s="214">
        <v>0</v>
      </c>
      <c r="BV155" s="259">
        <v>0</v>
      </c>
      <c r="BW155" s="214">
        <v>0</v>
      </c>
      <c r="BX155" s="214">
        <v>0</v>
      </c>
      <c r="BY155" s="214">
        <v>0</v>
      </c>
      <c r="BZ155" s="214">
        <v>0</v>
      </c>
      <c r="CA155" s="213">
        <v>0</v>
      </c>
      <c r="CB155" s="214">
        <v>0</v>
      </c>
      <c r="CC155" s="214">
        <v>0</v>
      </c>
      <c r="CD155" s="259">
        <v>0</v>
      </c>
      <c r="CE155" s="213">
        <v>0</v>
      </c>
      <c r="CF155" s="214">
        <v>0</v>
      </c>
      <c r="CG155" s="214">
        <v>0</v>
      </c>
      <c r="CH155" s="259">
        <v>0</v>
      </c>
      <c r="CI155" s="213">
        <v>0</v>
      </c>
      <c r="CJ155" s="214">
        <v>0</v>
      </c>
      <c r="CK155" s="214">
        <v>0</v>
      </c>
      <c r="CL155" s="259">
        <v>0</v>
      </c>
      <c r="CM155" s="213"/>
      <c r="CN155" s="214"/>
      <c r="CO155" s="214"/>
      <c r="CP155" s="259"/>
      <c r="CQ155" s="213"/>
      <c r="CR155" s="214"/>
      <c r="CS155" s="214"/>
      <c r="CT155" s="259"/>
      <c r="CU155" s="213"/>
      <c r="CV155" s="214"/>
      <c r="CW155" s="214"/>
      <c r="CX155" s="259"/>
    </row>
    <row r="156" spans="1:119" x14ac:dyDescent="0.25">
      <c r="A156" s="225"/>
      <c r="B156" s="290" t="s">
        <v>262</v>
      </c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10"/>
      <c r="AZ156" s="8">
        <v>17835</v>
      </c>
      <c r="BA156" s="8">
        <v>50704</v>
      </c>
      <c r="BB156" s="9">
        <v>45917</v>
      </c>
      <c r="BC156" s="34">
        <v>43663</v>
      </c>
      <c r="BD156" s="32">
        <v>47791</v>
      </c>
      <c r="BE156" s="32">
        <v>56393</v>
      </c>
      <c r="BF156" s="33">
        <v>56988</v>
      </c>
      <c r="BG156" s="34">
        <v>49548</v>
      </c>
      <c r="BH156" s="32">
        <v>52623</v>
      </c>
      <c r="BI156" s="32">
        <v>41060</v>
      </c>
      <c r="BJ156" s="32">
        <v>31866</v>
      </c>
      <c r="BK156" s="213">
        <v>32587</v>
      </c>
      <c r="BL156" s="214">
        <v>19453</v>
      </c>
      <c r="BM156" s="214">
        <v>21519</v>
      </c>
      <c r="BN156" s="259">
        <v>8105</v>
      </c>
      <c r="BO156" s="213">
        <v>0</v>
      </c>
      <c r="BP156" s="214">
        <v>0</v>
      </c>
      <c r="BQ156" s="214">
        <v>0</v>
      </c>
      <c r="BR156" s="214">
        <v>0</v>
      </c>
      <c r="BS156" s="213">
        <v>0</v>
      </c>
      <c r="BT156" s="214">
        <v>0</v>
      </c>
      <c r="BU156" s="214">
        <v>0</v>
      </c>
      <c r="BV156" s="259">
        <v>0</v>
      </c>
      <c r="BW156" s="214">
        <v>0</v>
      </c>
      <c r="BX156" s="214">
        <v>0</v>
      </c>
      <c r="BY156" s="214">
        <v>0</v>
      </c>
      <c r="BZ156" s="214">
        <v>0</v>
      </c>
      <c r="CA156" s="213">
        <v>0</v>
      </c>
      <c r="CB156" s="214">
        <v>0</v>
      </c>
      <c r="CC156" s="214">
        <v>0</v>
      </c>
      <c r="CD156" s="259">
        <v>0</v>
      </c>
      <c r="CE156" s="213">
        <v>0</v>
      </c>
      <c r="CF156" s="214">
        <v>0</v>
      </c>
      <c r="CG156" s="214">
        <v>0</v>
      </c>
      <c r="CH156" s="259">
        <v>0</v>
      </c>
      <c r="CI156" s="213">
        <v>0</v>
      </c>
      <c r="CJ156" s="214">
        <v>0</v>
      </c>
      <c r="CK156" s="214">
        <v>0</v>
      </c>
      <c r="CL156" s="259">
        <v>0</v>
      </c>
      <c r="CM156" s="213"/>
      <c r="CN156" s="214"/>
      <c r="CO156" s="214"/>
      <c r="CP156" s="259"/>
      <c r="CQ156" s="213"/>
      <c r="CR156" s="214"/>
      <c r="CS156" s="214"/>
      <c r="CT156" s="259"/>
      <c r="CU156" s="213"/>
      <c r="CV156" s="214"/>
      <c r="CW156" s="214"/>
      <c r="CX156" s="259"/>
    </row>
    <row r="157" spans="1:119" x14ac:dyDescent="0.25">
      <c r="A157" s="225"/>
      <c r="B157" s="292" t="s">
        <v>123</v>
      </c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10"/>
      <c r="BB157" s="23"/>
      <c r="BC157" s="46"/>
      <c r="BD157" s="50"/>
      <c r="BE157" s="50"/>
      <c r="BF157" s="51"/>
      <c r="BG157" s="46"/>
      <c r="BH157" s="47"/>
      <c r="BK157" s="225"/>
      <c r="BL157" s="208"/>
      <c r="BM157" s="208"/>
      <c r="BN157" s="227"/>
      <c r="BO157" s="288"/>
      <c r="BP157" s="208"/>
      <c r="BQ157" s="208"/>
      <c r="BR157" s="208"/>
      <c r="BS157" s="225"/>
      <c r="BT157" s="208"/>
      <c r="BU157" s="208"/>
      <c r="BV157" s="227"/>
      <c r="BW157" s="208"/>
      <c r="BX157" s="208"/>
      <c r="BY157" s="208"/>
      <c r="BZ157" s="208"/>
      <c r="CA157" s="225"/>
      <c r="CB157" s="208"/>
      <c r="CC157" s="208"/>
      <c r="CD157" s="227"/>
      <c r="CE157" s="225"/>
      <c r="CF157" s="208"/>
      <c r="CG157" s="208"/>
      <c r="CH157" s="227"/>
      <c r="CI157" s="225"/>
      <c r="CJ157" s="208"/>
      <c r="CK157" s="208"/>
      <c r="CL157" s="227"/>
      <c r="CM157" s="225"/>
      <c r="CN157" s="208"/>
      <c r="CO157" s="208"/>
      <c r="CP157" s="227"/>
      <c r="CQ157" s="225"/>
      <c r="CR157" s="208"/>
      <c r="CS157" s="208"/>
      <c r="CT157" s="227"/>
      <c r="CU157" s="225"/>
      <c r="CV157" s="208"/>
      <c r="CW157" s="208"/>
      <c r="CX157" s="227"/>
    </row>
    <row r="158" spans="1:119" x14ac:dyDescent="0.25">
      <c r="A158" s="225"/>
      <c r="B158" s="227" t="s">
        <v>52</v>
      </c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10"/>
      <c r="AZ158" s="8">
        <v>123</v>
      </c>
      <c r="BA158" s="8">
        <f>251+128</f>
        <v>379</v>
      </c>
      <c r="BB158" s="9">
        <f>250+141</f>
        <v>391</v>
      </c>
      <c r="BC158" s="34">
        <v>305</v>
      </c>
      <c r="BD158" s="32">
        <v>334</v>
      </c>
      <c r="BE158" s="32">
        <v>427</v>
      </c>
      <c r="BF158" s="33">
        <v>404</v>
      </c>
      <c r="BG158" s="34">
        <v>341</v>
      </c>
      <c r="BH158" s="32">
        <v>337</v>
      </c>
      <c r="BI158" s="32">
        <v>262</v>
      </c>
      <c r="BJ158" s="32">
        <v>218</v>
      </c>
      <c r="BK158" s="213">
        <v>194</v>
      </c>
      <c r="BL158" s="214">
        <v>129</v>
      </c>
      <c r="BM158" s="214">
        <v>157</v>
      </c>
      <c r="BN158" s="259">
        <v>44</v>
      </c>
      <c r="BO158" s="213">
        <v>0</v>
      </c>
      <c r="BP158" s="249">
        <v>5</v>
      </c>
      <c r="BQ158" s="249">
        <v>32</v>
      </c>
      <c r="BR158" s="249">
        <v>42</v>
      </c>
      <c r="BS158" s="262">
        <v>17</v>
      </c>
      <c r="BT158" s="249">
        <v>22</v>
      </c>
      <c r="BU158" s="249">
        <v>27</v>
      </c>
      <c r="BV158" s="291">
        <v>8.7996960271501727</v>
      </c>
      <c r="BW158" s="249">
        <v>0</v>
      </c>
      <c r="BX158" s="249">
        <v>0</v>
      </c>
      <c r="BY158" s="249">
        <v>0</v>
      </c>
      <c r="BZ158" s="249">
        <v>0</v>
      </c>
      <c r="CA158" s="262">
        <v>0</v>
      </c>
      <c r="CB158" s="249">
        <v>0</v>
      </c>
      <c r="CC158" s="249">
        <v>0</v>
      </c>
      <c r="CD158" s="291">
        <v>0</v>
      </c>
      <c r="CE158" s="262">
        <v>0</v>
      </c>
      <c r="CF158" s="249">
        <v>0</v>
      </c>
      <c r="CG158" s="249">
        <v>0</v>
      </c>
      <c r="CH158" s="291">
        <v>0</v>
      </c>
      <c r="CI158" s="262">
        <v>0</v>
      </c>
      <c r="CJ158" s="249">
        <v>0</v>
      </c>
      <c r="CK158" s="249">
        <v>0</v>
      </c>
      <c r="CL158" s="291">
        <v>0</v>
      </c>
      <c r="CM158" s="262"/>
      <c r="CN158" s="249"/>
      <c r="CO158" s="249"/>
      <c r="CP158" s="291"/>
      <c r="CQ158" s="262"/>
      <c r="CR158" s="249"/>
      <c r="CS158" s="249"/>
      <c r="CT158" s="291"/>
      <c r="CU158" s="262"/>
      <c r="CV158" s="249"/>
      <c r="CW158" s="249"/>
      <c r="CX158" s="291"/>
    </row>
    <row r="159" spans="1:119" x14ac:dyDescent="0.25">
      <c r="A159" s="225"/>
      <c r="B159" s="227" t="s">
        <v>53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10"/>
      <c r="AZ159" s="8">
        <v>412</v>
      </c>
      <c r="BA159" s="8">
        <v>1080</v>
      </c>
      <c r="BB159" s="9">
        <v>1287</v>
      </c>
      <c r="BC159" s="34">
        <v>1196</v>
      </c>
      <c r="BD159" s="32">
        <v>1053</v>
      </c>
      <c r="BE159" s="32">
        <v>1053</v>
      </c>
      <c r="BF159" s="33">
        <v>1021</v>
      </c>
      <c r="BG159" s="34">
        <v>1032</v>
      </c>
      <c r="BH159" s="32">
        <v>1068</v>
      </c>
      <c r="BI159" s="32">
        <v>1028</v>
      </c>
      <c r="BJ159" s="32">
        <v>915</v>
      </c>
      <c r="BK159" s="213">
        <v>1012</v>
      </c>
      <c r="BL159" s="214">
        <v>1007</v>
      </c>
      <c r="BM159" s="214">
        <v>816</v>
      </c>
      <c r="BN159" s="259">
        <v>363</v>
      </c>
      <c r="BO159" s="213">
        <v>695</v>
      </c>
      <c r="BP159" s="249">
        <v>1030</v>
      </c>
      <c r="BQ159" s="249">
        <v>1121</v>
      </c>
      <c r="BR159" s="249">
        <v>1172</v>
      </c>
      <c r="BS159" s="262">
        <v>1153</v>
      </c>
      <c r="BT159" s="249">
        <v>1021</v>
      </c>
      <c r="BU159" s="249">
        <v>948</v>
      </c>
      <c r="BV159" s="291">
        <v>1131.1236456180616</v>
      </c>
      <c r="BW159" s="249">
        <v>1072</v>
      </c>
      <c r="BX159" s="249">
        <v>999</v>
      </c>
      <c r="BY159" s="249">
        <v>1311</v>
      </c>
      <c r="BZ159" s="249">
        <v>1187</v>
      </c>
      <c r="CA159" s="262">
        <v>1143</v>
      </c>
      <c r="CB159" s="249">
        <v>1239</v>
      </c>
      <c r="CC159" s="249">
        <v>1182</v>
      </c>
      <c r="CD159" s="291">
        <v>1078</v>
      </c>
      <c r="CE159" s="262">
        <v>774</v>
      </c>
      <c r="CF159" s="249">
        <v>1014</v>
      </c>
      <c r="CG159" s="249">
        <v>1202</v>
      </c>
      <c r="CH159" s="291">
        <v>1085</v>
      </c>
      <c r="CI159" s="262">
        <v>992</v>
      </c>
      <c r="CJ159" s="249">
        <v>1110</v>
      </c>
      <c r="CK159" s="249">
        <v>1121</v>
      </c>
      <c r="CL159" s="291">
        <v>1066</v>
      </c>
      <c r="CM159" s="262">
        <v>932</v>
      </c>
      <c r="CN159" s="249">
        <v>1140</v>
      </c>
      <c r="CO159" s="249">
        <v>1162</v>
      </c>
      <c r="CP159" s="291">
        <v>1190</v>
      </c>
      <c r="CQ159" s="262">
        <v>902</v>
      </c>
      <c r="CR159" s="249">
        <v>1230</v>
      </c>
      <c r="CS159" s="249">
        <v>989</v>
      </c>
      <c r="CT159" s="291">
        <v>864</v>
      </c>
      <c r="CU159" s="262">
        <v>976</v>
      </c>
      <c r="CV159" s="249">
        <v>1080</v>
      </c>
      <c r="CW159" s="249"/>
      <c r="CX159" s="291"/>
    </row>
    <row r="160" spans="1:119" s="1" customFormat="1" x14ac:dyDescent="0.25">
      <c r="A160" s="306"/>
      <c r="B160" s="290" t="s">
        <v>54</v>
      </c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2"/>
      <c r="AZ160" s="63">
        <f t="shared" ref="AZ160:BN160" si="344">+AZ159+AZ158</f>
        <v>535</v>
      </c>
      <c r="BA160" s="63">
        <f t="shared" si="344"/>
        <v>1459</v>
      </c>
      <c r="BB160" s="64">
        <f t="shared" si="344"/>
        <v>1678</v>
      </c>
      <c r="BC160" s="65">
        <f t="shared" si="344"/>
        <v>1501</v>
      </c>
      <c r="BD160" s="66">
        <f t="shared" si="344"/>
        <v>1387</v>
      </c>
      <c r="BE160" s="66">
        <f t="shared" si="344"/>
        <v>1480</v>
      </c>
      <c r="BF160" s="67">
        <f t="shared" si="344"/>
        <v>1425</v>
      </c>
      <c r="BG160" s="65">
        <f t="shared" si="344"/>
        <v>1373</v>
      </c>
      <c r="BH160" s="66">
        <f t="shared" si="344"/>
        <v>1405</v>
      </c>
      <c r="BI160" s="66">
        <f t="shared" si="344"/>
        <v>1290</v>
      </c>
      <c r="BJ160" s="66">
        <f t="shared" si="344"/>
        <v>1133</v>
      </c>
      <c r="BK160" s="109">
        <f t="shared" si="344"/>
        <v>1206</v>
      </c>
      <c r="BL160" s="110">
        <f t="shared" si="344"/>
        <v>1136</v>
      </c>
      <c r="BM160" s="110">
        <f t="shared" si="344"/>
        <v>973</v>
      </c>
      <c r="BN160" s="111">
        <f t="shared" si="344"/>
        <v>407</v>
      </c>
      <c r="BO160" s="109">
        <f t="shared" ref="BO160:BV160" si="345">+BO159+BO158</f>
        <v>695</v>
      </c>
      <c r="BP160" s="110">
        <f t="shared" si="345"/>
        <v>1035</v>
      </c>
      <c r="BQ160" s="110">
        <f t="shared" si="345"/>
        <v>1153</v>
      </c>
      <c r="BR160" s="110">
        <f t="shared" si="345"/>
        <v>1214</v>
      </c>
      <c r="BS160" s="109">
        <f t="shared" si="345"/>
        <v>1170</v>
      </c>
      <c r="BT160" s="110">
        <f t="shared" si="345"/>
        <v>1043</v>
      </c>
      <c r="BU160" s="110">
        <f t="shared" si="345"/>
        <v>975</v>
      </c>
      <c r="BV160" s="111">
        <f t="shared" si="345"/>
        <v>1139.9233416452118</v>
      </c>
      <c r="BW160" s="110">
        <f t="shared" ref="BW160:BX160" si="346">+BW159+BW158</f>
        <v>1072</v>
      </c>
      <c r="BX160" s="110">
        <f t="shared" si="346"/>
        <v>999</v>
      </c>
      <c r="BY160" s="110">
        <f t="shared" ref="BY160:BZ160" si="347">+BY159+BY158</f>
        <v>1311</v>
      </c>
      <c r="BZ160" s="110">
        <f t="shared" si="347"/>
        <v>1187</v>
      </c>
      <c r="CA160" s="109">
        <f t="shared" ref="CA160:CB160" si="348">+CA159+CA158</f>
        <v>1143</v>
      </c>
      <c r="CB160" s="110">
        <f t="shared" si="348"/>
        <v>1239</v>
      </c>
      <c r="CC160" s="110">
        <f t="shared" ref="CC160:CF160" si="349">+CC159+CC158</f>
        <v>1182</v>
      </c>
      <c r="CD160" s="111">
        <f t="shared" si="349"/>
        <v>1078</v>
      </c>
      <c r="CE160" s="109">
        <f t="shared" si="349"/>
        <v>774</v>
      </c>
      <c r="CF160" s="110">
        <f t="shared" si="349"/>
        <v>1014</v>
      </c>
      <c r="CG160" s="110">
        <f t="shared" ref="CG160:CJ160" si="350">+CG159+CG158</f>
        <v>1202</v>
      </c>
      <c r="CH160" s="111">
        <f t="shared" si="350"/>
        <v>1085</v>
      </c>
      <c r="CI160" s="109">
        <f t="shared" si="350"/>
        <v>992</v>
      </c>
      <c r="CJ160" s="110">
        <f t="shared" si="350"/>
        <v>1110</v>
      </c>
      <c r="CK160" s="110">
        <f t="shared" ref="CK160:CP160" si="351">+CK159+CK158</f>
        <v>1121</v>
      </c>
      <c r="CL160" s="111">
        <f t="shared" si="351"/>
        <v>1066</v>
      </c>
      <c r="CM160" s="109">
        <f t="shared" si="351"/>
        <v>932</v>
      </c>
      <c r="CN160" s="110">
        <f t="shared" si="351"/>
        <v>1140</v>
      </c>
      <c r="CO160" s="110">
        <f t="shared" si="351"/>
        <v>1162</v>
      </c>
      <c r="CP160" s="111">
        <f t="shared" si="351"/>
        <v>1190</v>
      </c>
      <c r="CQ160" s="109">
        <f t="shared" ref="CQ160:CT160" si="352">+CQ159+CQ158</f>
        <v>902</v>
      </c>
      <c r="CR160" s="110">
        <f t="shared" si="352"/>
        <v>1230</v>
      </c>
      <c r="CS160" s="110">
        <f t="shared" si="352"/>
        <v>989</v>
      </c>
      <c r="CT160" s="111">
        <f t="shared" si="352"/>
        <v>864</v>
      </c>
      <c r="CU160" s="109">
        <f t="shared" ref="CU160:CX160" si="353">+CU159+CU158</f>
        <v>976</v>
      </c>
      <c r="CV160" s="110">
        <f t="shared" si="353"/>
        <v>1080</v>
      </c>
      <c r="CW160" s="110">
        <f t="shared" si="353"/>
        <v>0</v>
      </c>
      <c r="CX160" s="111">
        <f t="shared" si="353"/>
        <v>0</v>
      </c>
      <c r="CY160" s="347"/>
      <c r="CZ160" s="347"/>
      <c r="DA160" s="347"/>
      <c r="DB160" s="347"/>
      <c r="DC160" s="347"/>
      <c r="DD160" s="347"/>
      <c r="DE160" s="347"/>
      <c r="DF160" s="347"/>
      <c r="DG160" s="347"/>
      <c r="DH160" s="347"/>
      <c r="DI160" s="347"/>
      <c r="DJ160" s="347"/>
      <c r="DK160" s="347"/>
      <c r="DL160" s="347"/>
      <c r="DM160" s="347"/>
      <c r="DN160" s="347"/>
      <c r="DO160" s="347"/>
    </row>
    <row r="161" spans="1:119" x14ac:dyDescent="0.25">
      <c r="A161" s="225"/>
      <c r="B161" s="292" t="s">
        <v>55</v>
      </c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10"/>
      <c r="BB161" s="23"/>
      <c r="BC161" s="49"/>
      <c r="BD161" s="50"/>
      <c r="BE161" s="50"/>
      <c r="BF161" s="51"/>
      <c r="BG161" s="49"/>
      <c r="BH161" s="50"/>
      <c r="BK161" s="225"/>
      <c r="BL161" s="208"/>
      <c r="BM161" s="208"/>
      <c r="BN161" s="227"/>
      <c r="BO161" s="288"/>
      <c r="BP161" s="208"/>
      <c r="BQ161" s="208"/>
      <c r="BR161" s="208"/>
      <c r="BS161" s="225"/>
      <c r="BT161" s="208"/>
      <c r="BU161" s="208"/>
      <c r="BV161" s="227"/>
      <c r="BW161" s="208"/>
      <c r="BX161" s="208"/>
      <c r="BY161" s="208"/>
      <c r="BZ161" s="208"/>
      <c r="CA161" s="225"/>
      <c r="CB161" s="208"/>
      <c r="CC161" s="208"/>
      <c r="CD161" s="227"/>
      <c r="CE161" s="225"/>
      <c r="CF161" s="208"/>
      <c r="CG161" s="208"/>
      <c r="CH161" s="227"/>
      <c r="CI161" s="225"/>
      <c r="CJ161" s="208"/>
      <c r="CK161" s="208"/>
      <c r="CL161" s="227"/>
      <c r="CM161" s="225"/>
      <c r="CN161" s="208"/>
      <c r="CO161" s="208"/>
      <c r="CP161" s="227"/>
      <c r="CQ161" s="225"/>
      <c r="CR161" s="208"/>
      <c r="CS161" s="208"/>
      <c r="CT161" s="227"/>
      <c r="CU161" s="225"/>
      <c r="CV161" s="208"/>
      <c r="CW161" s="208"/>
      <c r="CX161" s="227"/>
    </row>
    <row r="162" spans="1:119" x14ac:dyDescent="0.25">
      <c r="A162" s="225"/>
      <c r="B162" s="227" t="s">
        <v>52</v>
      </c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4"/>
      <c r="AZ162" s="12">
        <f>+AZ166/AZ158</f>
        <v>4.5447154471544717</v>
      </c>
      <c r="BA162" s="12">
        <f t="shared" ref="BA162:BH164" si="354">+BA166/BA158</f>
        <v>3.8390501319261214</v>
      </c>
      <c r="BB162" s="13">
        <f t="shared" si="354"/>
        <v>4.3606138107416879</v>
      </c>
      <c r="BC162" s="35">
        <f t="shared" si="354"/>
        <v>3.622950819672131</v>
      </c>
      <c r="BD162" s="36">
        <f t="shared" si="354"/>
        <v>3.7185628742514969</v>
      </c>
      <c r="BE162" s="36">
        <f t="shared" si="354"/>
        <v>3.8173302107728335</v>
      </c>
      <c r="BF162" s="37">
        <f t="shared" si="354"/>
        <v>3.4207920792079207</v>
      </c>
      <c r="BG162" s="35">
        <f t="shared" si="354"/>
        <v>3.9912023460410557</v>
      </c>
      <c r="BH162" s="36">
        <f t="shared" si="354"/>
        <v>4.1097922848664687</v>
      </c>
      <c r="BI162" s="36">
        <f t="shared" ref="BI162:BL164" si="355">+BI166/BI158</f>
        <v>4.2977099236641223</v>
      </c>
      <c r="BJ162" s="36">
        <f t="shared" si="355"/>
        <v>4.5</v>
      </c>
      <c r="BK162" s="301">
        <f t="shared" si="355"/>
        <v>3.6134020618556701</v>
      </c>
      <c r="BL162" s="297">
        <f t="shared" si="355"/>
        <v>4.7054263565891477</v>
      </c>
      <c r="BM162" s="297">
        <f t="shared" ref="BM162:BR162" si="356">+BM166/BM158</f>
        <v>4.5222929936305736</v>
      </c>
      <c r="BN162" s="302">
        <f t="shared" si="356"/>
        <v>7.2727272727272725</v>
      </c>
      <c r="BO162" s="322" t="s">
        <v>77</v>
      </c>
      <c r="BP162" s="323">
        <f t="shared" si="356"/>
        <v>1.2</v>
      </c>
      <c r="BQ162" s="297">
        <f t="shared" si="356"/>
        <v>0.9375</v>
      </c>
      <c r="BR162" s="297">
        <f t="shared" si="356"/>
        <v>1.0476190476190477</v>
      </c>
      <c r="BS162" s="301">
        <f>+BS166/BS158</f>
        <v>0.35294117647058826</v>
      </c>
      <c r="BT162" s="297">
        <f>+BT166/BT158</f>
        <v>0.45454545454545453</v>
      </c>
      <c r="BU162" s="297">
        <f>+BU166/BU158</f>
        <v>0.44444444444444442</v>
      </c>
      <c r="BV162" s="302">
        <f>+BV166/BV158</f>
        <v>0.45456115616477955</v>
      </c>
      <c r="BW162" s="297">
        <v>0</v>
      </c>
      <c r="BX162" s="297">
        <v>0</v>
      </c>
      <c r="BY162" s="297">
        <v>0</v>
      </c>
      <c r="BZ162" s="297">
        <v>0</v>
      </c>
      <c r="CA162" s="301">
        <v>0</v>
      </c>
      <c r="CB162" s="297">
        <v>0</v>
      </c>
      <c r="CC162" s="297">
        <v>0</v>
      </c>
      <c r="CD162" s="302">
        <v>0</v>
      </c>
      <c r="CE162" s="301">
        <v>0</v>
      </c>
      <c r="CF162" s="297">
        <v>0</v>
      </c>
      <c r="CG162" s="297">
        <v>0</v>
      </c>
      <c r="CH162" s="302">
        <v>0</v>
      </c>
      <c r="CI162" s="301">
        <v>0</v>
      </c>
      <c r="CJ162" s="297">
        <v>0</v>
      </c>
      <c r="CK162" s="297">
        <v>0</v>
      </c>
      <c r="CL162" s="302">
        <v>0</v>
      </c>
      <c r="CM162" s="301"/>
      <c r="CN162" s="297"/>
      <c r="CO162" s="297"/>
      <c r="CP162" s="302"/>
      <c r="CQ162" s="301"/>
      <c r="CR162" s="297"/>
      <c r="CS162" s="297"/>
      <c r="CT162" s="302"/>
      <c r="CU162" s="301"/>
      <c r="CV162" s="297"/>
      <c r="CW162" s="297"/>
      <c r="CX162" s="302"/>
    </row>
    <row r="163" spans="1:119" x14ac:dyDescent="0.25">
      <c r="A163" s="225"/>
      <c r="B163" s="227" t="s">
        <v>53</v>
      </c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4"/>
      <c r="AZ163" s="12">
        <f t="shared" ref="AZ163:BB164" si="357">+AZ167/AZ159</f>
        <v>0.20388349514563106</v>
      </c>
      <c r="BA163" s="12">
        <f t="shared" si="357"/>
        <v>0.21851851851851853</v>
      </c>
      <c r="BB163" s="13">
        <f t="shared" si="357"/>
        <v>0.20668220668220669</v>
      </c>
      <c r="BC163" s="35">
        <f t="shared" si="354"/>
        <v>0.22157190635451504</v>
      </c>
      <c r="BD163" s="36">
        <f t="shared" si="354"/>
        <v>0.22507122507122507</v>
      </c>
      <c r="BE163" s="36">
        <f t="shared" si="354"/>
        <v>0.19753086419753085</v>
      </c>
      <c r="BF163" s="37">
        <f t="shared" si="354"/>
        <v>0.1792360430950049</v>
      </c>
      <c r="BG163" s="35">
        <f t="shared" si="354"/>
        <v>0.16957364341085271</v>
      </c>
      <c r="BH163" s="36">
        <f t="shared" si="354"/>
        <v>0.19007490636704119</v>
      </c>
      <c r="BI163" s="36">
        <f t="shared" si="355"/>
        <v>0.21595330739299612</v>
      </c>
      <c r="BJ163" s="36">
        <f t="shared" si="355"/>
        <v>0.21857923497267759</v>
      </c>
      <c r="BK163" s="301">
        <f t="shared" si="355"/>
        <v>0.18972332015810275</v>
      </c>
      <c r="BL163" s="297">
        <f t="shared" si="355"/>
        <v>0.18570009930486595</v>
      </c>
      <c r="BM163" s="297">
        <f t="shared" ref="BM163:BR164" si="358">+BM167/BM159</f>
        <v>0.24264705882352941</v>
      </c>
      <c r="BN163" s="302">
        <f t="shared" si="358"/>
        <v>0.52892561983471076</v>
      </c>
      <c r="BO163" s="301">
        <f t="shared" si="358"/>
        <v>0.34532374100719426</v>
      </c>
      <c r="BP163" s="297">
        <f t="shared" si="358"/>
        <v>0.28640776699029125</v>
      </c>
      <c r="BQ163" s="297">
        <f t="shared" si="358"/>
        <v>0.31311329170383584</v>
      </c>
      <c r="BR163" s="297">
        <f>+BR167/BR159-0.01</f>
        <v>0.35518771331058019</v>
      </c>
      <c r="BS163" s="301">
        <f t="shared" ref="BS163:BU164" si="359">+BS167/BS159</f>
        <v>0.28013876843018215</v>
      </c>
      <c r="BT163" s="297">
        <f t="shared" si="359"/>
        <v>0.2938295788442703</v>
      </c>
      <c r="BU163" s="297">
        <f t="shared" si="359"/>
        <v>0.31645569620253167</v>
      </c>
      <c r="BV163" s="302">
        <f t="shared" ref="BV163:BW163" si="360">+BV167/BV159</f>
        <v>0.29704975340375361</v>
      </c>
      <c r="BW163" s="297">
        <f t="shared" si="360"/>
        <v>0.27705223880597013</v>
      </c>
      <c r="BX163" s="297">
        <f t="shared" ref="BX163:BY163" si="361">+BX167/BX159</f>
        <v>0.22722722722722724</v>
      </c>
      <c r="BY163" s="297">
        <f t="shared" si="361"/>
        <v>0.25019069412662093</v>
      </c>
      <c r="BZ163" s="297">
        <f t="shared" ref="BZ163:CA163" si="362">+BZ167/BZ159</f>
        <v>0.26958719460825609</v>
      </c>
      <c r="CA163" s="301">
        <f t="shared" si="362"/>
        <v>0.24496937882764655</v>
      </c>
      <c r="CB163" s="297">
        <v>0.25</v>
      </c>
      <c r="CC163" s="297">
        <v>0.25</v>
      </c>
      <c r="CD163" s="302">
        <v>0.26</v>
      </c>
      <c r="CE163" s="301">
        <f t="shared" ref="CE163" si="363">+CE167/CE159</f>
        <v>0.20542635658914729</v>
      </c>
      <c r="CF163" s="297">
        <v>0.19</v>
      </c>
      <c r="CG163" s="297">
        <v>0.27</v>
      </c>
      <c r="CH163" s="302">
        <v>0.31</v>
      </c>
      <c r="CI163" s="301">
        <f t="shared" ref="CI163:CK163" si="364">+CI167/CI159</f>
        <v>0.26209677419354838</v>
      </c>
      <c r="CJ163" s="297">
        <f t="shared" si="364"/>
        <v>0.27747747747747747</v>
      </c>
      <c r="CK163" s="297">
        <f t="shared" si="364"/>
        <v>0.27921498661909011</v>
      </c>
      <c r="CL163" s="302">
        <v>0.28999999999999998</v>
      </c>
      <c r="CM163" s="301">
        <v>0.31</v>
      </c>
      <c r="CN163" s="297">
        <v>0.31</v>
      </c>
      <c r="CO163" s="297">
        <v>0.27</v>
      </c>
      <c r="CP163" s="302">
        <v>0.22</v>
      </c>
      <c r="CQ163" s="301">
        <v>0.23</v>
      </c>
      <c r="CR163" s="297">
        <v>0.22</v>
      </c>
      <c r="CS163" s="297">
        <v>0.22</v>
      </c>
      <c r="CT163" s="302">
        <v>0.23</v>
      </c>
      <c r="CU163" s="301">
        <v>0.21</v>
      </c>
      <c r="CV163" s="297">
        <v>0.3</v>
      </c>
      <c r="CW163" s="297"/>
      <c r="CX163" s="302"/>
    </row>
    <row r="164" spans="1:119" s="1" customFormat="1" x14ac:dyDescent="0.25">
      <c r="A164" s="306"/>
      <c r="B164" s="290" t="s">
        <v>56</v>
      </c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4"/>
      <c r="AZ164" s="69">
        <f t="shared" si="357"/>
        <v>1.2018691588785047</v>
      </c>
      <c r="BA164" s="69">
        <f t="shared" si="357"/>
        <v>1.1590130226182316</v>
      </c>
      <c r="BB164" s="70">
        <f t="shared" si="357"/>
        <v>1.1746126340882002</v>
      </c>
      <c r="BC164" s="71">
        <f t="shared" si="354"/>
        <v>0.91272485009993343</v>
      </c>
      <c r="BD164" s="72">
        <f t="shared" si="354"/>
        <v>1.0663302090843547</v>
      </c>
      <c r="BE164" s="72">
        <f t="shared" si="354"/>
        <v>1.241891891891892</v>
      </c>
      <c r="BF164" s="73">
        <f t="shared" si="354"/>
        <v>1.0982456140350878</v>
      </c>
      <c r="BG164" s="71">
        <f t="shared" si="354"/>
        <v>1.1187181354697742</v>
      </c>
      <c r="BH164" s="72">
        <f t="shared" si="354"/>
        <v>1.1302491103202847</v>
      </c>
      <c r="BI164" s="72">
        <f t="shared" si="355"/>
        <v>1.0449612403100774</v>
      </c>
      <c r="BJ164" s="72">
        <f t="shared" si="355"/>
        <v>1.0423654015887025</v>
      </c>
      <c r="BK164" s="112">
        <f t="shared" si="355"/>
        <v>0.7404643449419569</v>
      </c>
      <c r="BL164" s="113">
        <f t="shared" si="355"/>
        <v>0.698943661971831</v>
      </c>
      <c r="BM164" s="113">
        <f>+BM168/BM160</f>
        <v>0.93319630010277488</v>
      </c>
      <c r="BN164" s="114">
        <f>+BN168/BN160</f>
        <v>1.257985257985258</v>
      </c>
      <c r="BO164" s="112">
        <f>+BO168/BO160</f>
        <v>0.34532374100719426</v>
      </c>
      <c r="BP164" s="113">
        <f>+BP168/BP160</f>
        <v>0.29082125603864734</v>
      </c>
      <c r="BQ164" s="113">
        <f>+BQ168/BQ160</f>
        <v>0.33044232437120558</v>
      </c>
      <c r="BR164" s="113">
        <f t="shared" si="358"/>
        <v>0.38879736408566723</v>
      </c>
      <c r="BS164" s="112">
        <f t="shared" si="359"/>
        <v>0.2811965811965812</v>
      </c>
      <c r="BT164" s="113">
        <f t="shared" si="359"/>
        <v>0.2972195589645254</v>
      </c>
      <c r="BU164" s="113">
        <f t="shared" si="359"/>
        <v>0.32</v>
      </c>
      <c r="BV164" s="114">
        <f t="shared" ref="BV164:BW164" si="365">+BV168/BV160</f>
        <v>0.29826567066280946</v>
      </c>
      <c r="BW164" s="113">
        <f t="shared" si="365"/>
        <v>0.27705223880597013</v>
      </c>
      <c r="BX164" s="113">
        <f t="shared" ref="BX164:BY164" si="366">+BX168/BX160</f>
        <v>0.22722722722722724</v>
      </c>
      <c r="BY164" s="113">
        <f t="shared" si="366"/>
        <v>0.25019069412662093</v>
      </c>
      <c r="BZ164" s="113">
        <f t="shared" ref="BZ164" si="367">+BZ168/BZ160</f>
        <v>0.26958719460825609</v>
      </c>
      <c r="CA164" s="112">
        <f t="shared" ref="CA164:CH164" si="368">+CA168/CA160</f>
        <v>0.24496937882764655</v>
      </c>
      <c r="CB164" s="113">
        <f t="shared" si="368"/>
        <v>0.25181598062953997</v>
      </c>
      <c r="CC164" s="113">
        <f t="shared" si="368"/>
        <v>0.24534686971235195</v>
      </c>
      <c r="CD164" s="114">
        <f t="shared" si="368"/>
        <v>0.26345083487940629</v>
      </c>
      <c r="CE164" s="112">
        <f t="shared" si="368"/>
        <v>0.20542635658914729</v>
      </c>
      <c r="CF164" s="113">
        <f t="shared" si="368"/>
        <v>0.19230769230769232</v>
      </c>
      <c r="CG164" s="113">
        <f t="shared" si="368"/>
        <v>0.26539101497504158</v>
      </c>
      <c r="CH164" s="114">
        <f t="shared" si="368"/>
        <v>0.3105990783410138</v>
      </c>
      <c r="CI164" s="112">
        <f t="shared" ref="CI164:CP164" si="369">+CI168/CI160</f>
        <v>0.26209677419354838</v>
      </c>
      <c r="CJ164" s="113">
        <f t="shared" si="369"/>
        <v>0.27747747747747747</v>
      </c>
      <c r="CK164" s="113">
        <f t="shared" si="369"/>
        <v>0.27921498661909011</v>
      </c>
      <c r="CL164" s="114">
        <f t="shared" si="369"/>
        <v>0.28611632270168857</v>
      </c>
      <c r="CM164" s="112">
        <f t="shared" si="369"/>
        <v>0.30901287553648071</v>
      </c>
      <c r="CN164" s="113">
        <f t="shared" si="369"/>
        <v>0.31315789473684208</v>
      </c>
      <c r="CO164" s="113">
        <f t="shared" si="369"/>
        <v>0.26850258175559383</v>
      </c>
      <c r="CP164" s="114">
        <f t="shared" si="369"/>
        <v>0.22436974789915967</v>
      </c>
      <c r="CQ164" s="112">
        <f>+CQ168/CQ160-0.01</f>
        <v>0.22503325942350333</v>
      </c>
      <c r="CR164" s="113">
        <f t="shared" ref="CR164:CX164" si="370">+CR168/CR160</f>
        <v>0.21707317073170732</v>
      </c>
      <c r="CS164" s="113">
        <f t="shared" si="370"/>
        <v>0.21941354903943378</v>
      </c>
      <c r="CT164" s="114">
        <f t="shared" si="370"/>
        <v>0.22916666666666666</v>
      </c>
      <c r="CU164" s="112">
        <f t="shared" si="370"/>
        <v>0.21413934426229508</v>
      </c>
      <c r="CV164" s="113">
        <f t="shared" si="370"/>
        <v>0.29907407407407405</v>
      </c>
      <c r="CW164" s="113" t="e">
        <f t="shared" si="370"/>
        <v>#DIV/0!</v>
      </c>
      <c r="CX164" s="114" t="e">
        <f t="shared" si="370"/>
        <v>#DIV/0!</v>
      </c>
      <c r="CY164" s="347"/>
      <c r="CZ164" s="347"/>
      <c r="DA164" s="347"/>
      <c r="DB164" s="347"/>
      <c r="DC164" s="347"/>
      <c r="DD164" s="347"/>
      <c r="DE164" s="347"/>
      <c r="DF164" s="347"/>
      <c r="DG164" s="347"/>
      <c r="DH164" s="347"/>
      <c r="DI164" s="347"/>
      <c r="DJ164" s="347"/>
      <c r="DK164" s="347"/>
      <c r="DL164" s="347"/>
      <c r="DM164" s="347"/>
      <c r="DN164" s="347"/>
      <c r="DO164" s="347"/>
    </row>
    <row r="165" spans="1:119" x14ac:dyDescent="0.25">
      <c r="A165" s="225"/>
      <c r="B165" s="292" t="s">
        <v>57</v>
      </c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10"/>
      <c r="BB165" s="23"/>
      <c r="BC165" s="49"/>
      <c r="BD165" s="50"/>
      <c r="BE165" s="50"/>
      <c r="BF165" s="51"/>
      <c r="BG165" s="49"/>
      <c r="BH165" s="50"/>
      <c r="BK165" s="225"/>
      <c r="BL165" s="208"/>
      <c r="BM165" s="208"/>
      <c r="BN165" s="227"/>
      <c r="BO165" s="288"/>
      <c r="BP165" s="208"/>
      <c r="BQ165" s="208"/>
      <c r="BR165" s="208"/>
      <c r="BS165" s="225"/>
      <c r="BT165" s="208"/>
      <c r="BU165" s="208"/>
      <c r="BV165" s="227"/>
      <c r="BW165" s="208"/>
      <c r="BX165" s="208"/>
      <c r="BY165" s="208"/>
      <c r="BZ165" s="208"/>
      <c r="CA165" s="225"/>
      <c r="CB165" s="208"/>
      <c r="CC165" s="208"/>
      <c r="CD165" s="227"/>
      <c r="CE165" s="225"/>
      <c r="CF165" s="208"/>
      <c r="CG165" s="208"/>
      <c r="CH165" s="227"/>
      <c r="CI165" s="225"/>
      <c r="CJ165" s="208"/>
      <c r="CK165" s="208"/>
      <c r="CL165" s="227"/>
      <c r="CM165" s="225"/>
      <c r="CN165" s="208"/>
      <c r="CO165" s="208"/>
      <c r="CP165" s="227"/>
      <c r="CQ165" s="225"/>
      <c r="CR165" s="208"/>
      <c r="CS165" s="208"/>
      <c r="CT165" s="227"/>
      <c r="CU165" s="225"/>
      <c r="CV165" s="208"/>
      <c r="CW165" s="208"/>
      <c r="CX165" s="227"/>
    </row>
    <row r="166" spans="1:119" x14ac:dyDescent="0.25">
      <c r="A166" s="225"/>
      <c r="B166" s="227" t="s">
        <v>52</v>
      </c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10"/>
      <c r="AZ166" s="8">
        <f>559</f>
        <v>559</v>
      </c>
      <c r="BA166" s="8">
        <v>1455</v>
      </c>
      <c r="BB166" s="9">
        <f>1088+617</f>
        <v>1705</v>
      </c>
      <c r="BC166" s="34">
        <v>1105</v>
      </c>
      <c r="BD166" s="32">
        <v>1242</v>
      </c>
      <c r="BE166" s="32">
        <v>1630</v>
      </c>
      <c r="BF166" s="33">
        <v>1382</v>
      </c>
      <c r="BG166" s="34">
        <v>1361</v>
      </c>
      <c r="BH166" s="32">
        <v>1385</v>
      </c>
      <c r="BI166" s="32">
        <v>1126</v>
      </c>
      <c r="BJ166" s="32">
        <v>981</v>
      </c>
      <c r="BK166" s="213">
        <v>701</v>
      </c>
      <c r="BL166" s="214">
        <v>607</v>
      </c>
      <c r="BM166" s="214">
        <v>710</v>
      </c>
      <c r="BN166" s="259">
        <v>320</v>
      </c>
      <c r="BO166" s="213">
        <v>0</v>
      </c>
      <c r="BP166" s="249">
        <v>6</v>
      </c>
      <c r="BQ166" s="249">
        <v>30</v>
      </c>
      <c r="BR166" s="249">
        <v>44</v>
      </c>
      <c r="BS166" s="262">
        <v>6</v>
      </c>
      <c r="BT166" s="249">
        <v>10</v>
      </c>
      <c r="BU166" s="249">
        <v>12</v>
      </c>
      <c r="BV166" s="291">
        <v>4</v>
      </c>
      <c r="BW166" s="249">
        <v>0</v>
      </c>
      <c r="BX166" s="249">
        <v>0</v>
      </c>
      <c r="BY166" s="249">
        <v>0</v>
      </c>
      <c r="BZ166" s="249">
        <v>0</v>
      </c>
      <c r="CA166" s="262">
        <v>0</v>
      </c>
      <c r="CB166" s="249">
        <v>0</v>
      </c>
      <c r="CC166" s="249">
        <v>0</v>
      </c>
      <c r="CD166" s="291">
        <v>0</v>
      </c>
      <c r="CE166" s="262">
        <v>0</v>
      </c>
      <c r="CF166" s="249">
        <v>0</v>
      </c>
      <c r="CG166" s="249">
        <v>0</v>
      </c>
      <c r="CH166" s="291">
        <v>0</v>
      </c>
      <c r="CI166" s="262">
        <v>0</v>
      </c>
      <c r="CJ166" s="249">
        <v>0</v>
      </c>
      <c r="CK166" s="249">
        <v>0</v>
      </c>
      <c r="CL166" s="291">
        <v>0</v>
      </c>
      <c r="CM166" s="262"/>
      <c r="CN166" s="249"/>
      <c r="CO166" s="249"/>
      <c r="CP166" s="291"/>
      <c r="CQ166" s="262"/>
      <c r="CR166" s="249"/>
      <c r="CS166" s="249"/>
      <c r="CT166" s="291"/>
      <c r="CU166" s="262"/>
      <c r="CV166" s="249"/>
      <c r="CW166" s="249"/>
      <c r="CX166" s="291"/>
    </row>
    <row r="167" spans="1:119" x14ac:dyDescent="0.25">
      <c r="A167" s="225"/>
      <c r="B167" s="227" t="s">
        <v>53</v>
      </c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10"/>
      <c r="AZ167" s="8">
        <v>84</v>
      </c>
      <c r="BA167" s="8">
        <v>236</v>
      </c>
      <c r="BB167" s="9">
        <v>266</v>
      </c>
      <c r="BC167" s="34">
        <v>265</v>
      </c>
      <c r="BD167" s="32">
        <v>237</v>
      </c>
      <c r="BE167" s="32">
        <v>208</v>
      </c>
      <c r="BF167" s="33">
        <v>183</v>
      </c>
      <c r="BG167" s="34">
        <v>175</v>
      </c>
      <c r="BH167" s="32">
        <v>203</v>
      </c>
      <c r="BI167" s="32">
        <v>222</v>
      </c>
      <c r="BJ167" s="32">
        <v>200</v>
      </c>
      <c r="BK167" s="213">
        <v>192</v>
      </c>
      <c r="BL167" s="214">
        <v>187</v>
      </c>
      <c r="BM167" s="214">
        <v>198</v>
      </c>
      <c r="BN167" s="259">
        <v>192</v>
      </c>
      <c r="BO167" s="213">
        <v>240</v>
      </c>
      <c r="BP167" s="249">
        <v>295</v>
      </c>
      <c r="BQ167" s="249">
        <v>351</v>
      </c>
      <c r="BR167" s="249">
        <v>428</v>
      </c>
      <c r="BS167" s="262">
        <v>323</v>
      </c>
      <c r="BT167" s="249">
        <v>300</v>
      </c>
      <c r="BU167" s="249">
        <v>300</v>
      </c>
      <c r="BV167" s="291">
        <v>336</v>
      </c>
      <c r="BW167" s="249">
        <v>297</v>
      </c>
      <c r="BX167" s="249">
        <v>227</v>
      </c>
      <c r="BY167" s="249">
        <v>328</v>
      </c>
      <c r="BZ167" s="249">
        <v>320</v>
      </c>
      <c r="CA167" s="262">
        <v>280</v>
      </c>
      <c r="CB167" s="249">
        <v>312</v>
      </c>
      <c r="CC167" s="249">
        <v>290</v>
      </c>
      <c r="CD167" s="291">
        <v>284</v>
      </c>
      <c r="CE167" s="262">
        <v>159</v>
      </c>
      <c r="CF167" s="249">
        <v>195</v>
      </c>
      <c r="CG167" s="249">
        <v>319</v>
      </c>
      <c r="CH167" s="291">
        <v>337</v>
      </c>
      <c r="CI167" s="262">
        <v>260</v>
      </c>
      <c r="CJ167" s="249">
        <v>308</v>
      </c>
      <c r="CK167" s="214">
        <v>313</v>
      </c>
      <c r="CL167" s="291">
        <v>305</v>
      </c>
      <c r="CM167" s="262">
        <v>288</v>
      </c>
      <c r="CN167" s="249">
        <v>357</v>
      </c>
      <c r="CO167" s="214">
        <v>312</v>
      </c>
      <c r="CP167" s="291">
        <v>267</v>
      </c>
      <c r="CQ167" s="262">
        <v>212</v>
      </c>
      <c r="CR167" s="249">
        <v>267</v>
      </c>
      <c r="CS167" s="214">
        <v>217</v>
      </c>
      <c r="CT167" s="291">
        <v>198</v>
      </c>
      <c r="CU167" s="262">
        <v>209</v>
      </c>
      <c r="CV167" s="249">
        <v>323</v>
      </c>
      <c r="CW167" s="214"/>
      <c r="CX167" s="291"/>
    </row>
    <row r="168" spans="1:119" s="1" customFormat="1" x14ac:dyDescent="0.25">
      <c r="A168" s="306"/>
      <c r="B168" s="290" t="s">
        <v>54</v>
      </c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2"/>
      <c r="AZ168" s="63">
        <f t="shared" ref="AZ168:BN168" si="371">+AZ167+AZ166</f>
        <v>643</v>
      </c>
      <c r="BA168" s="63">
        <f t="shared" si="371"/>
        <v>1691</v>
      </c>
      <c r="BB168" s="64">
        <f t="shared" si="371"/>
        <v>1971</v>
      </c>
      <c r="BC168" s="65">
        <f t="shared" si="371"/>
        <v>1370</v>
      </c>
      <c r="BD168" s="66">
        <f t="shared" si="371"/>
        <v>1479</v>
      </c>
      <c r="BE168" s="66">
        <f t="shared" si="371"/>
        <v>1838</v>
      </c>
      <c r="BF168" s="67">
        <f t="shared" si="371"/>
        <v>1565</v>
      </c>
      <c r="BG168" s="65">
        <f t="shared" si="371"/>
        <v>1536</v>
      </c>
      <c r="BH168" s="66">
        <f t="shared" si="371"/>
        <v>1588</v>
      </c>
      <c r="BI168" s="66">
        <f t="shared" si="371"/>
        <v>1348</v>
      </c>
      <c r="BJ168" s="66">
        <f t="shared" si="371"/>
        <v>1181</v>
      </c>
      <c r="BK168" s="109">
        <f t="shared" si="371"/>
        <v>893</v>
      </c>
      <c r="BL168" s="110">
        <f t="shared" si="371"/>
        <v>794</v>
      </c>
      <c r="BM168" s="110">
        <f t="shared" si="371"/>
        <v>908</v>
      </c>
      <c r="BN168" s="111">
        <f t="shared" si="371"/>
        <v>512</v>
      </c>
      <c r="BO168" s="109">
        <f t="shared" ref="BO168:BV168" si="372">+BO167+BO166</f>
        <v>240</v>
      </c>
      <c r="BP168" s="110">
        <f t="shared" si="372"/>
        <v>301</v>
      </c>
      <c r="BQ168" s="110">
        <f t="shared" si="372"/>
        <v>381</v>
      </c>
      <c r="BR168" s="110">
        <f t="shared" si="372"/>
        <v>472</v>
      </c>
      <c r="BS168" s="109">
        <f t="shared" si="372"/>
        <v>329</v>
      </c>
      <c r="BT168" s="110">
        <f t="shared" si="372"/>
        <v>310</v>
      </c>
      <c r="BU168" s="110">
        <f t="shared" si="372"/>
        <v>312</v>
      </c>
      <c r="BV168" s="111">
        <f t="shared" si="372"/>
        <v>340</v>
      </c>
      <c r="BW168" s="110">
        <f t="shared" ref="BW168:BX168" si="373">+BW167+BW166</f>
        <v>297</v>
      </c>
      <c r="BX168" s="110">
        <f t="shared" si="373"/>
        <v>227</v>
      </c>
      <c r="BY168" s="110">
        <f t="shared" ref="BY168:BZ168" si="374">+BY167+BY166</f>
        <v>328</v>
      </c>
      <c r="BZ168" s="110">
        <f t="shared" si="374"/>
        <v>320</v>
      </c>
      <c r="CA168" s="109">
        <f t="shared" ref="CA168:CB168" si="375">+CA167+CA166</f>
        <v>280</v>
      </c>
      <c r="CB168" s="110">
        <f t="shared" si="375"/>
        <v>312</v>
      </c>
      <c r="CC168" s="110">
        <f t="shared" ref="CC168:CF168" si="376">+CC167+CC166</f>
        <v>290</v>
      </c>
      <c r="CD168" s="111">
        <f t="shared" si="376"/>
        <v>284</v>
      </c>
      <c r="CE168" s="109">
        <f t="shared" si="376"/>
        <v>159</v>
      </c>
      <c r="CF168" s="110">
        <f t="shared" si="376"/>
        <v>195</v>
      </c>
      <c r="CG168" s="110">
        <f t="shared" ref="CG168:CJ168" si="377">+CG167+CG166</f>
        <v>319</v>
      </c>
      <c r="CH168" s="111">
        <f t="shared" si="377"/>
        <v>337</v>
      </c>
      <c r="CI168" s="109">
        <f t="shared" si="377"/>
        <v>260</v>
      </c>
      <c r="CJ168" s="110">
        <f t="shared" si="377"/>
        <v>308</v>
      </c>
      <c r="CK168" s="110">
        <f t="shared" ref="CK168:CP168" si="378">+CK167+CK166</f>
        <v>313</v>
      </c>
      <c r="CL168" s="111">
        <f t="shared" si="378"/>
        <v>305</v>
      </c>
      <c r="CM168" s="109">
        <f t="shared" si="378"/>
        <v>288</v>
      </c>
      <c r="CN168" s="110">
        <f t="shared" si="378"/>
        <v>357</v>
      </c>
      <c r="CO168" s="110">
        <f t="shared" si="378"/>
        <v>312</v>
      </c>
      <c r="CP168" s="111">
        <f t="shared" si="378"/>
        <v>267</v>
      </c>
      <c r="CQ168" s="109">
        <f t="shared" ref="CQ168:CT168" si="379">+CQ167+CQ166</f>
        <v>212</v>
      </c>
      <c r="CR168" s="110">
        <f t="shared" si="379"/>
        <v>267</v>
      </c>
      <c r="CS168" s="110">
        <f t="shared" si="379"/>
        <v>217</v>
      </c>
      <c r="CT168" s="111">
        <f t="shared" si="379"/>
        <v>198</v>
      </c>
      <c r="CU168" s="109">
        <f t="shared" ref="CU168:CX168" si="380">+CU167+CU166</f>
        <v>209</v>
      </c>
      <c r="CV168" s="110">
        <f t="shared" si="380"/>
        <v>323</v>
      </c>
      <c r="CW168" s="110">
        <f t="shared" si="380"/>
        <v>0</v>
      </c>
      <c r="CX168" s="111">
        <f t="shared" si="380"/>
        <v>0</v>
      </c>
      <c r="CY168" s="347"/>
      <c r="CZ168" s="347"/>
      <c r="DA168" s="347"/>
      <c r="DB168" s="347"/>
      <c r="DC168" s="347"/>
      <c r="DD168" s="347"/>
      <c r="DE168" s="347"/>
      <c r="DF168" s="347"/>
      <c r="DG168" s="347"/>
      <c r="DH168" s="347"/>
      <c r="DI168" s="347"/>
      <c r="DJ168" s="347"/>
      <c r="DK168" s="347"/>
      <c r="DL168" s="347"/>
      <c r="DM168" s="347"/>
      <c r="DN168" s="347"/>
      <c r="DO168" s="347"/>
    </row>
    <row r="169" spans="1:119" x14ac:dyDescent="0.25">
      <c r="A169" s="225"/>
      <c r="B169" s="310" t="s">
        <v>124</v>
      </c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180"/>
      <c r="AY169" s="10"/>
      <c r="BB169" s="23"/>
      <c r="BC169" s="49"/>
      <c r="BD169" s="50"/>
      <c r="BE169" s="50"/>
      <c r="BF169" s="51"/>
      <c r="BG169" s="49"/>
      <c r="BH169" s="50"/>
      <c r="BK169" s="225"/>
      <c r="BL169" s="208"/>
      <c r="BM169" s="208"/>
      <c r="BN169" s="227"/>
      <c r="BO169" s="288"/>
      <c r="BP169" s="208"/>
      <c r="BQ169" s="208"/>
      <c r="BR169" s="208"/>
      <c r="BS169" s="225"/>
      <c r="BT169" s="208"/>
      <c r="BU169" s="208"/>
      <c r="BV169" s="227"/>
      <c r="BW169" s="208"/>
      <c r="BX169" s="208"/>
      <c r="BY169" s="208"/>
      <c r="BZ169" s="208"/>
      <c r="CA169" s="225"/>
      <c r="CB169" s="208"/>
      <c r="CC169" s="208"/>
      <c r="CD169" s="227"/>
      <c r="CE169" s="225"/>
      <c r="CF169" s="208"/>
      <c r="CG169" s="208"/>
      <c r="CH169" s="227"/>
      <c r="CI169" s="225"/>
      <c r="CJ169" s="208"/>
      <c r="CK169" s="208"/>
      <c r="CL169" s="227"/>
      <c r="CM169" s="225"/>
      <c r="CN169" s="208"/>
      <c r="CO169" s="208"/>
      <c r="CP169" s="227"/>
      <c r="CQ169" s="225"/>
      <c r="CR169" s="208"/>
      <c r="CS169" s="208"/>
      <c r="CT169" s="227"/>
      <c r="CU169" s="225"/>
      <c r="CV169" s="208"/>
      <c r="CW169" s="208"/>
      <c r="CX169" s="227"/>
    </row>
    <row r="170" spans="1:119" x14ac:dyDescent="0.25">
      <c r="A170" s="225"/>
      <c r="B170" s="227" t="s">
        <v>52</v>
      </c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10"/>
      <c r="AZ170" s="8">
        <v>1683</v>
      </c>
      <c r="BA170" s="8">
        <v>1668</v>
      </c>
      <c r="BB170" s="9">
        <v>1602</v>
      </c>
      <c r="BC170" s="34">
        <v>1856</v>
      </c>
      <c r="BD170" s="32">
        <v>1872</v>
      </c>
      <c r="BE170" s="32">
        <v>1720</v>
      </c>
      <c r="BF170" s="33">
        <v>1719</v>
      </c>
      <c r="BG170" s="34">
        <v>1930</v>
      </c>
      <c r="BH170" s="32">
        <v>2196</v>
      </c>
      <c r="BI170" s="32">
        <v>2802</v>
      </c>
      <c r="BJ170" s="32">
        <v>2265</v>
      </c>
      <c r="BK170" s="213">
        <v>2352</v>
      </c>
      <c r="BL170" s="214">
        <v>3247</v>
      </c>
      <c r="BM170" s="214">
        <v>2917</v>
      </c>
      <c r="BN170" s="259">
        <v>5650</v>
      </c>
      <c r="BO170" s="213">
        <v>0</v>
      </c>
      <c r="BP170" s="214">
        <v>140</v>
      </c>
      <c r="BQ170" s="214">
        <v>47</v>
      </c>
      <c r="BR170" s="214">
        <v>186</v>
      </c>
      <c r="BS170" s="213">
        <v>159</v>
      </c>
      <c r="BT170" s="214">
        <v>291</v>
      </c>
      <c r="BU170" s="214">
        <v>200</v>
      </c>
      <c r="BV170" s="259">
        <v>233</v>
      </c>
      <c r="BW170" s="214">
        <v>0</v>
      </c>
      <c r="BX170" s="214">
        <v>0</v>
      </c>
      <c r="BY170" s="214">
        <v>0</v>
      </c>
      <c r="BZ170" s="214">
        <v>0</v>
      </c>
      <c r="CA170" s="213">
        <v>0</v>
      </c>
      <c r="CB170" s="214">
        <v>0</v>
      </c>
      <c r="CC170" s="214">
        <v>0</v>
      </c>
      <c r="CD170" s="259">
        <v>0</v>
      </c>
      <c r="CE170" s="213">
        <v>0</v>
      </c>
      <c r="CF170" s="214">
        <v>0</v>
      </c>
      <c r="CG170" s="214">
        <v>0</v>
      </c>
      <c r="CH170" s="259">
        <v>0</v>
      </c>
      <c r="CI170" s="213">
        <v>0</v>
      </c>
      <c r="CJ170" s="214">
        <v>0</v>
      </c>
      <c r="CK170" s="214">
        <v>0</v>
      </c>
      <c r="CL170" s="259">
        <v>0</v>
      </c>
      <c r="CM170" s="213"/>
      <c r="CN170" s="214"/>
      <c r="CO170" s="214"/>
      <c r="CP170" s="259"/>
      <c r="CQ170" s="213"/>
      <c r="CR170" s="214"/>
      <c r="CS170" s="214"/>
      <c r="CT170" s="259"/>
      <c r="CU170" s="213"/>
      <c r="CV170" s="214"/>
      <c r="CW170" s="214"/>
      <c r="CX170" s="259"/>
    </row>
    <row r="171" spans="1:119" x14ac:dyDescent="0.25">
      <c r="A171" s="225"/>
      <c r="B171" s="227" t="s">
        <v>53</v>
      </c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10"/>
      <c r="AZ171" s="8">
        <v>83</v>
      </c>
      <c r="BA171" s="8">
        <v>99</v>
      </c>
      <c r="BB171" s="9">
        <v>67</v>
      </c>
      <c r="BC171" s="34">
        <v>81</v>
      </c>
      <c r="BD171" s="32">
        <v>88</v>
      </c>
      <c r="BE171" s="32">
        <v>83</v>
      </c>
      <c r="BF171" s="33">
        <v>79</v>
      </c>
      <c r="BG171" s="34">
        <v>79</v>
      </c>
      <c r="BH171" s="32">
        <v>96</v>
      </c>
      <c r="BI171" s="32">
        <v>89</v>
      </c>
      <c r="BJ171" s="32">
        <v>96</v>
      </c>
      <c r="BK171" s="213">
        <v>80</v>
      </c>
      <c r="BL171" s="214">
        <v>84</v>
      </c>
      <c r="BM171" s="214">
        <v>138</v>
      </c>
      <c r="BN171" s="259">
        <v>265</v>
      </c>
      <c r="BO171" s="213">
        <v>172</v>
      </c>
      <c r="BP171" s="214">
        <v>137</v>
      </c>
      <c r="BQ171" s="214">
        <v>144</v>
      </c>
      <c r="BR171" s="214">
        <v>229</v>
      </c>
      <c r="BS171" s="213">
        <v>121</v>
      </c>
      <c r="BT171" s="214">
        <v>140</v>
      </c>
      <c r="BU171" s="214">
        <v>165</v>
      </c>
      <c r="BV171" s="259">
        <v>150</v>
      </c>
      <c r="BW171" s="214">
        <v>157</v>
      </c>
      <c r="BX171" s="214">
        <v>142</v>
      </c>
      <c r="BY171" s="214">
        <v>149</v>
      </c>
      <c r="BZ171" s="214">
        <v>169</v>
      </c>
      <c r="CA171" s="213">
        <v>145</v>
      </c>
      <c r="CB171" s="214">
        <v>177</v>
      </c>
      <c r="CC171" s="214">
        <v>184</v>
      </c>
      <c r="CD171" s="259">
        <v>191</v>
      </c>
      <c r="CE171" s="213">
        <v>183</v>
      </c>
      <c r="CF171" s="214">
        <v>178</v>
      </c>
      <c r="CG171" s="214">
        <v>214</v>
      </c>
      <c r="CH171" s="259">
        <v>254</v>
      </c>
      <c r="CI171" s="213">
        <v>243</v>
      </c>
      <c r="CJ171" s="214">
        <v>298</v>
      </c>
      <c r="CK171" s="214">
        <v>308</v>
      </c>
      <c r="CL171" s="259">
        <v>324</v>
      </c>
      <c r="CM171" s="213">
        <v>401</v>
      </c>
      <c r="CN171" s="214">
        <v>398</v>
      </c>
      <c r="CO171" s="214">
        <v>348</v>
      </c>
      <c r="CP171" s="259">
        <v>317</v>
      </c>
      <c r="CQ171" s="213">
        <v>370</v>
      </c>
      <c r="CR171" s="214">
        <v>325</v>
      </c>
      <c r="CS171" s="214">
        <v>450</v>
      </c>
      <c r="CT171" s="259">
        <v>509</v>
      </c>
      <c r="CU171" s="213">
        <v>518</v>
      </c>
      <c r="CV171" s="214">
        <v>488</v>
      </c>
      <c r="CW171" s="214"/>
      <c r="CX171" s="259"/>
    </row>
    <row r="172" spans="1:119" s="1" customFormat="1" x14ac:dyDescent="0.25">
      <c r="A172" s="306"/>
      <c r="B172" s="290" t="s">
        <v>54</v>
      </c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2"/>
      <c r="AZ172" s="63">
        <f>+((AZ170*AZ158)+(AZ171*AZ159))/(AZ160)</f>
        <v>450.85046728971963</v>
      </c>
      <c r="BA172" s="63">
        <f>+((BA170*BA158)+(BA171*BA159))/(BA160)-1</f>
        <v>505.57436600411239</v>
      </c>
      <c r="BB172" s="64">
        <f t="shared" ref="BB172:BH172" si="381">+((BB170*BB158)+(BB171*BB159))/(BB160)</f>
        <v>424.67878426698451</v>
      </c>
      <c r="BC172" s="65">
        <f t="shared" si="381"/>
        <v>441.67621585609595</v>
      </c>
      <c r="BD172" s="66">
        <f t="shared" si="381"/>
        <v>517.60057678442683</v>
      </c>
      <c r="BE172" s="66">
        <f t="shared" si="381"/>
        <v>555.29662162162163</v>
      </c>
      <c r="BF172" s="67">
        <f t="shared" si="381"/>
        <v>543.95438596491226</v>
      </c>
      <c r="BG172" s="65">
        <f t="shared" si="381"/>
        <v>538.71667880553537</v>
      </c>
      <c r="BH172" s="66">
        <f t="shared" si="381"/>
        <v>599.70106761565842</v>
      </c>
      <c r="BI172" s="66">
        <v>640</v>
      </c>
      <c r="BJ172" s="66">
        <v>514</v>
      </c>
      <c r="BK172" s="109">
        <v>445</v>
      </c>
      <c r="BL172" s="110">
        <v>443</v>
      </c>
      <c r="BM172" s="110">
        <v>586</v>
      </c>
      <c r="BN172" s="111">
        <v>847</v>
      </c>
      <c r="BO172" s="109">
        <v>176</v>
      </c>
      <c r="BP172" s="110">
        <v>137</v>
      </c>
      <c r="BQ172" s="110">
        <v>141</v>
      </c>
      <c r="BR172" s="110">
        <v>144</v>
      </c>
      <c r="BS172" s="109">
        <v>122</v>
      </c>
      <c r="BT172" s="110">
        <v>143</v>
      </c>
      <c r="BU172" s="110">
        <v>166</v>
      </c>
      <c r="BV172" s="111">
        <v>151</v>
      </c>
      <c r="BW172" s="110">
        <v>157</v>
      </c>
      <c r="BX172" s="110">
        <v>142</v>
      </c>
      <c r="BY172" s="110">
        <v>149</v>
      </c>
      <c r="BZ172" s="110">
        <v>169</v>
      </c>
      <c r="CA172" s="109">
        <v>145</v>
      </c>
      <c r="CB172" s="110">
        <v>177</v>
      </c>
      <c r="CC172" s="110">
        <v>184</v>
      </c>
      <c r="CD172" s="111">
        <v>191</v>
      </c>
      <c r="CE172" s="109">
        <f>+CE171</f>
        <v>183</v>
      </c>
      <c r="CF172" s="110">
        <f>+CF171</f>
        <v>178</v>
      </c>
      <c r="CG172" s="110">
        <v>214</v>
      </c>
      <c r="CH172" s="111">
        <v>254</v>
      </c>
      <c r="CI172" s="109">
        <f>+CI171</f>
        <v>243</v>
      </c>
      <c r="CJ172" s="110">
        <f>+CJ171</f>
        <v>298</v>
      </c>
      <c r="CK172" s="110">
        <f>+CK171</f>
        <v>308</v>
      </c>
      <c r="CL172" s="111">
        <v>324</v>
      </c>
      <c r="CM172" s="109">
        <f t="shared" ref="CM172:CT172" si="382">+CM171</f>
        <v>401</v>
      </c>
      <c r="CN172" s="110">
        <f t="shared" si="382"/>
        <v>398</v>
      </c>
      <c r="CO172" s="110">
        <f t="shared" si="382"/>
        <v>348</v>
      </c>
      <c r="CP172" s="111">
        <f t="shared" si="382"/>
        <v>317</v>
      </c>
      <c r="CQ172" s="109">
        <f t="shared" si="382"/>
        <v>370</v>
      </c>
      <c r="CR172" s="110">
        <f t="shared" si="382"/>
        <v>325</v>
      </c>
      <c r="CS172" s="110">
        <f t="shared" si="382"/>
        <v>450</v>
      </c>
      <c r="CT172" s="111">
        <f t="shared" si="382"/>
        <v>509</v>
      </c>
      <c r="CU172" s="109">
        <f t="shared" ref="CU172:CX172" si="383">+CU171</f>
        <v>518</v>
      </c>
      <c r="CV172" s="110">
        <f t="shared" si="383"/>
        <v>488</v>
      </c>
      <c r="CW172" s="110">
        <f t="shared" si="383"/>
        <v>0</v>
      </c>
      <c r="CX172" s="111">
        <f t="shared" si="383"/>
        <v>0</v>
      </c>
      <c r="CY172" s="347"/>
      <c r="CZ172" s="347"/>
      <c r="DA172" s="347"/>
      <c r="DB172" s="347"/>
      <c r="DC172" s="347"/>
      <c r="DD172" s="347"/>
      <c r="DE172" s="347"/>
      <c r="DF172" s="347"/>
      <c r="DG172" s="347"/>
      <c r="DH172" s="347"/>
      <c r="DI172" s="347"/>
      <c r="DJ172" s="347"/>
      <c r="DK172" s="347"/>
      <c r="DL172" s="347"/>
      <c r="DM172" s="347"/>
      <c r="DN172" s="347"/>
      <c r="DO172" s="347"/>
    </row>
    <row r="173" spans="1:119" x14ac:dyDescent="0.25">
      <c r="A173" s="225"/>
      <c r="B173" s="292" t="s">
        <v>134</v>
      </c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Y173" s="22"/>
      <c r="BB173" s="23"/>
      <c r="BC173" s="49"/>
      <c r="BD173" s="50"/>
      <c r="BE173" s="50"/>
      <c r="BF173" s="51"/>
      <c r="BG173" s="49"/>
      <c r="BH173" s="50"/>
      <c r="BK173" s="225"/>
      <c r="BL173" s="208"/>
      <c r="BM173" s="208"/>
      <c r="BN173" s="227"/>
      <c r="BO173" s="288"/>
      <c r="BP173" s="208"/>
      <c r="BQ173" s="208"/>
      <c r="BR173" s="208"/>
      <c r="BS173" s="225"/>
      <c r="BT173" s="208"/>
      <c r="BU173" s="208"/>
      <c r="BV173" s="227"/>
      <c r="BW173" s="208"/>
      <c r="BX173" s="208"/>
      <c r="BY173" s="208"/>
      <c r="BZ173" s="208"/>
      <c r="CA173" s="225"/>
      <c r="CB173" s="208"/>
      <c r="CC173" s="208"/>
      <c r="CD173" s="227"/>
      <c r="CE173" s="225"/>
      <c r="CF173" s="208"/>
      <c r="CG173" s="208"/>
      <c r="CH173" s="227"/>
      <c r="CI173" s="225"/>
      <c r="CJ173" s="208"/>
      <c r="CK173" s="208"/>
      <c r="CL173" s="227"/>
      <c r="CM173" s="225"/>
      <c r="CN173" s="208"/>
      <c r="CO173" s="208"/>
      <c r="CP173" s="227"/>
      <c r="CQ173" s="225"/>
      <c r="CR173" s="208"/>
      <c r="CS173" s="208"/>
      <c r="CT173" s="227"/>
      <c r="CU173" s="225"/>
      <c r="CV173" s="208"/>
      <c r="CW173" s="208"/>
      <c r="CX173" s="227"/>
    </row>
    <row r="174" spans="1:119" x14ac:dyDescent="0.25">
      <c r="A174" s="225"/>
      <c r="B174" s="227" t="s">
        <v>59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3"/>
      <c r="N174" s="2"/>
      <c r="O174" s="2"/>
      <c r="P174" s="2"/>
      <c r="Q174" s="2"/>
      <c r="R174" s="2"/>
      <c r="S174" s="2"/>
      <c r="T174" s="4"/>
      <c r="U174" s="30"/>
      <c r="V174" s="30"/>
      <c r="W174" s="30"/>
      <c r="X174" s="30"/>
      <c r="Y174" s="30"/>
      <c r="Z174" s="30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4"/>
      <c r="AZ174" s="15">
        <v>12.8</v>
      </c>
      <c r="BA174" s="15">
        <v>53.4</v>
      </c>
      <c r="BB174" s="16">
        <v>50.8</v>
      </c>
      <c r="BC174" s="29">
        <v>64</v>
      </c>
      <c r="BD174" s="30">
        <v>60</v>
      </c>
      <c r="BE174" s="30">
        <v>55.1</v>
      </c>
      <c r="BF174" s="31">
        <v>47.8</v>
      </c>
      <c r="BG174" s="29">
        <v>44.2</v>
      </c>
      <c r="BH174" s="30">
        <v>42.7</v>
      </c>
      <c r="BI174" s="30">
        <v>38.4</v>
      </c>
      <c r="BJ174" s="30">
        <v>34.299999999999997</v>
      </c>
      <c r="BK174" s="210">
        <v>32.4</v>
      </c>
      <c r="BL174" s="221">
        <v>21.3</v>
      </c>
      <c r="BM174" s="221">
        <v>0</v>
      </c>
      <c r="BN174" s="222">
        <v>0</v>
      </c>
      <c r="BO174" s="289">
        <v>0</v>
      </c>
      <c r="BP174" s="214">
        <v>0</v>
      </c>
      <c r="BQ174" s="214">
        <v>0</v>
      </c>
      <c r="BR174" s="214">
        <v>0</v>
      </c>
      <c r="BS174" s="213">
        <v>0</v>
      </c>
      <c r="BT174" s="214">
        <v>0</v>
      </c>
      <c r="BU174" s="214">
        <v>0</v>
      </c>
      <c r="BV174" s="259">
        <v>0</v>
      </c>
      <c r="BW174" s="214">
        <v>0</v>
      </c>
      <c r="BX174" s="214">
        <v>0</v>
      </c>
      <c r="BY174" s="214">
        <v>0</v>
      </c>
      <c r="BZ174" s="214">
        <v>0</v>
      </c>
      <c r="CA174" s="213">
        <v>0</v>
      </c>
      <c r="CB174" s="214">
        <v>0</v>
      </c>
      <c r="CC174" s="214">
        <v>0</v>
      </c>
      <c r="CD174" s="259">
        <v>0</v>
      </c>
      <c r="CE174" s="213">
        <v>0</v>
      </c>
      <c r="CF174" s="214">
        <v>0</v>
      </c>
      <c r="CG174" s="214">
        <v>0</v>
      </c>
      <c r="CH174" s="259">
        <v>0</v>
      </c>
      <c r="CI174" s="213">
        <v>0</v>
      </c>
      <c r="CJ174" s="214">
        <v>0</v>
      </c>
      <c r="CK174" s="214">
        <v>0</v>
      </c>
      <c r="CL174" s="259">
        <v>0</v>
      </c>
      <c r="CM174" s="213"/>
      <c r="CN174" s="214"/>
      <c r="CO174" s="214"/>
      <c r="CP174" s="259"/>
      <c r="CQ174" s="213"/>
      <c r="CR174" s="214"/>
      <c r="CS174" s="214"/>
      <c r="CT174" s="259"/>
      <c r="CU174" s="213"/>
      <c r="CV174" s="214"/>
      <c r="CW174" s="214"/>
      <c r="CX174" s="259"/>
    </row>
    <row r="175" spans="1:119" x14ac:dyDescent="0.25">
      <c r="A175" s="225"/>
      <c r="B175" s="227" t="s">
        <v>61</v>
      </c>
      <c r="C175" s="5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59"/>
      <c r="S175" s="59"/>
      <c r="T175" s="59"/>
      <c r="U175" s="59"/>
      <c r="V175" s="59"/>
      <c r="W175" s="59"/>
      <c r="X175" s="59"/>
      <c r="Y175" s="59"/>
      <c r="Z175" s="59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4"/>
      <c r="AZ175" s="15">
        <v>16.8</v>
      </c>
      <c r="BA175" s="15">
        <v>19.2</v>
      </c>
      <c r="BB175" s="16">
        <v>15.7</v>
      </c>
      <c r="BC175" s="29">
        <v>28.7</v>
      </c>
      <c r="BD175" s="30">
        <v>26.2</v>
      </c>
      <c r="BE175" s="30">
        <v>16.3</v>
      </c>
      <c r="BF175" s="31">
        <v>21.7</v>
      </c>
      <c r="BG175" s="29">
        <v>9.4</v>
      </c>
      <c r="BH175" s="30">
        <v>12.4</v>
      </c>
      <c r="BI175" s="30">
        <v>13.4</v>
      </c>
      <c r="BJ175" s="30">
        <v>13.7</v>
      </c>
      <c r="BK175" s="210">
        <v>4.3</v>
      </c>
      <c r="BL175" s="221">
        <v>4.2</v>
      </c>
      <c r="BM175" s="221">
        <v>0</v>
      </c>
      <c r="BN175" s="222">
        <v>0</v>
      </c>
      <c r="BO175" s="210">
        <v>0</v>
      </c>
      <c r="BP175" s="214">
        <v>0</v>
      </c>
      <c r="BQ175" s="214">
        <v>0</v>
      </c>
      <c r="BR175" s="214">
        <v>0</v>
      </c>
      <c r="BS175" s="213">
        <v>0</v>
      </c>
      <c r="BT175" s="214">
        <v>0</v>
      </c>
      <c r="BU175" s="214">
        <v>0</v>
      </c>
      <c r="BV175" s="259">
        <v>0</v>
      </c>
      <c r="BW175" s="214">
        <v>0</v>
      </c>
      <c r="BX175" s="214">
        <v>0</v>
      </c>
      <c r="BY175" s="214">
        <v>0</v>
      </c>
      <c r="BZ175" s="214">
        <v>0</v>
      </c>
      <c r="CA175" s="213">
        <v>0</v>
      </c>
      <c r="CB175" s="214">
        <v>0</v>
      </c>
      <c r="CC175" s="214">
        <v>0</v>
      </c>
      <c r="CD175" s="259">
        <v>0</v>
      </c>
      <c r="CE175" s="213">
        <v>0</v>
      </c>
      <c r="CF175" s="214">
        <v>0</v>
      </c>
      <c r="CG175" s="214">
        <v>0</v>
      </c>
      <c r="CH175" s="259">
        <v>0</v>
      </c>
      <c r="CI175" s="213">
        <v>0</v>
      </c>
      <c r="CJ175" s="214">
        <v>0</v>
      </c>
      <c r="CK175" s="214">
        <v>0</v>
      </c>
      <c r="CL175" s="259">
        <v>0</v>
      </c>
      <c r="CM175" s="213"/>
      <c r="CN175" s="214"/>
      <c r="CO175" s="214"/>
      <c r="CP175" s="259"/>
      <c r="CQ175" s="213"/>
      <c r="CR175" s="214"/>
      <c r="CS175" s="214"/>
      <c r="CT175" s="259"/>
      <c r="CU175" s="213"/>
      <c r="CV175" s="214"/>
      <c r="CW175" s="214"/>
      <c r="CX175" s="259"/>
    </row>
    <row r="176" spans="1:119" x14ac:dyDescent="0.25">
      <c r="A176" s="225"/>
      <c r="B176" s="227" t="s">
        <v>63</v>
      </c>
      <c r="C176" s="5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4"/>
      <c r="AZ176" s="15">
        <v>0</v>
      </c>
      <c r="BA176" s="15">
        <v>12.8</v>
      </c>
      <c r="BB176" s="16">
        <v>48.4</v>
      </c>
      <c r="BC176" s="29">
        <v>0</v>
      </c>
      <c r="BD176" s="30">
        <v>3.7</v>
      </c>
      <c r="BE176" s="30">
        <v>2.2999999999999998</v>
      </c>
      <c r="BF176" s="31">
        <v>11.6</v>
      </c>
      <c r="BG176" s="29">
        <v>2.8</v>
      </c>
      <c r="BH176" s="30">
        <v>1.7</v>
      </c>
      <c r="BI176" s="30">
        <v>18.2</v>
      </c>
      <c r="BJ176" s="30">
        <v>18</v>
      </c>
      <c r="BK176" s="210">
        <v>6.9</v>
      </c>
      <c r="BL176" s="221">
        <v>4.8</v>
      </c>
      <c r="BM176" s="221">
        <v>0</v>
      </c>
      <c r="BN176" s="222">
        <v>0</v>
      </c>
      <c r="BO176" s="210">
        <v>0</v>
      </c>
      <c r="BP176" s="214">
        <v>0</v>
      </c>
      <c r="BQ176" s="214">
        <v>0</v>
      </c>
      <c r="BR176" s="214">
        <v>0</v>
      </c>
      <c r="BS176" s="213">
        <v>0</v>
      </c>
      <c r="BT176" s="214">
        <v>0</v>
      </c>
      <c r="BU176" s="214">
        <v>0</v>
      </c>
      <c r="BV176" s="259">
        <v>0</v>
      </c>
      <c r="BW176" s="214">
        <v>0</v>
      </c>
      <c r="BX176" s="214">
        <v>0</v>
      </c>
      <c r="BY176" s="214">
        <v>0</v>
      </c>
      <c r="BZ176" s="214">
        <v>0</v>
      </c>
      <c r="CA176" s="213">
        <v>0</v>
      </c>
      <c r="CB176" s="214">
        <v>0</v>
      </c>
      <c r="CC176" s="214">
        <v>0</v>
      </c>
      <c r="CD176" s="259">
        <v>0</v>
      </c>
      <c r="CE176" s="213">
        <v>0</v>
      </c>
      <c r="CF176" s="214">
        <v>0</v>
      </c>
      <c r="CG176" s="214">
        <v>0</v>
      </c>
      <c r="CH176" s="259">
        <v>0</v>
      </c>
      <c r="CI176" s="213">
        <v>0</v>
      </c>
      <c r="CJ176" s="214">
        <v>0</v>
      </c>
      <c r="CK176" s="214">
        <v>0</v>
      </c>
      <c r="CL176" s="259">
        <v>0</v>
      </c>
      <c r="CM176" s="213"/>
      <c r="CN176" s="214"/>
      <c r="CO176" s="214"/>
      <c r="CP176" s="259"/>
      <c r="CQ176" s="213"/>
      <c r="CR176" s="214"/>
      <c r="CS176" s="214"/>
      <c r="CT176" s="259"/>
      <c r="CU176" s="213"/>
      <c r="CV176" s="214"/>
      <c r="CW176" s="214"/>
      <c r="CX176" s="259"/>
    </row>
    <row r="177" spans="1:247" s="1" customFormat="1" x14ac:dyDescent="0.25">
      <c r="A177" s="306"/>
      <c r="B177" s="227" t="s">
        <v>64</v>
      </c>
      <c r="C177" s="179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4"/>
      <c r="AZ177" s="75">
        <f t="shared" ref="AZ177:BN177" si="384">+AZ176+AZ175+AZ174</f>
        <v>29.6</v>
      </c>
      <c r="BA177" s="75">
        <f t="shared" si="384"/>
        <v>85.4</v>
      </c>
      <c r="BB177" s="76">
        <f t="shared" si="384"/>
        <v>114.89999999999999</v>
      </c>
      <c r="BC177" s="77">
        <f t="shared" si="384"/>
        <v>92.7</v>
      </c>
      <c r="BD177" s="78">
        <f t="shared" si="384"/>
        <v>89.9</v>
      </c>
      <c r="BE177" s="78">
        <f t="shared" si="384"/>
        <v>73.7</v>
      </c>
      <c r="BF177" s="79">
        <f t="shared" si="384"/>
        <v>81.099999999999994</v>
      </c>
      <c r="BG177" s="77">
        <f t="shared" si="384"/>
        <v>56.400000000000006</v>
      </c>
      <c r="BH177" s="78">
        <f t="shared" si="384"/>
        <v>56.800000000000004</v>
      </c>
      <c r="BI177" s="78">
        <f t="shared" si="384"/>
        <v>70</v>
      </c>
      <c r="BJ177" s="78">
        <f t="shared" si="384"/>
        <v>66</v>
      </c>
      <c r="BK177" s="115">
        <f t="shared" si="384"/>
        <v>43.599999999999994</v>
      </c>
      <c r="BL177" s="116">
        <f t="shared" si="384"/>
        <v>30.3</v>
      </c>
      <c r="BM177" s="116">
        <f t="shared" si="384"/>
        <v>0</v>
      </c>
      <c r="BN177" s="117">
        <f t="shared" si="384"/>
        <v>0</v>
      </c>
      <c r="BO177" s="115">
        <f t="shared" ref="BO177:BV177" si="385">+BO176+BO175+BO174</f>
        <v>0</v>
      </c>
      <c r="BP177" s="110">
        <f t="shared" si="385"/>
        <v>0</v>
      </c>
      <c r="BQ177" s="110">
        <f t="shared" si="385"/>
        <v>0</v>
      </c>
      <c r="BR177" s="110">
        <f t="shared" si="385"/>
        <v>0</v>
      </c>
      <c r="BS177" s="109">
        <f t="shared" si="385"/>
        <v>0</v>
      </c>
      <c r="BT177" s="110">
        <f t="shared" si="385"/>
        <v>0</v>
      </c>
      <c r="BU177" s="110">
        <f t="shared" si="385"/>
        <v>0</v>
      </c>
      <c r="BV177" s="111">
        <f t="shared" si="385"/>
        <v>0</v>
      </c>
      <c r="BW177" s="110">
        <f t="shared" ref="BW177:BX177" si="386">+BW176+BW175+BW174</f>
        <v>0</v>
      </c>
      <c r="BX177" s="110">
        <f t="shared" si="386"/>
        <v>0</v>
      </c>
      <c r="BY177" s="110">
        <f t="shared" ref="BY177:BZ177" si="387">+BY176+BY175+BY174</f>
        <v>0</v>
      </c>
      <c r="BZ177" s="110">
        <f t="shared" si="387"/>
        <v>0</v>
      </c>
      <c r="CA177" s="109">
        <f t="shared" ref="CA177:CB177" si="388">+CA176+CA175+CA174</f>
        <v>0</v>
      </c>
      <c r="CB177" s="110">
        <f t="shared" si="388"/>
        <v>0</v>
      </c>
      <c r="CC177" s="110">
        <f t="shared" ref="CC177:CF177" si="389">+CC176+CC175+CC174</f>
        <v>0</v>
      </c>
      <c r="CD177" s="111">
        <f t="shared" si="389"/>
        <v>0</v>
      </c>
      <c r="CE177" s="109">
        <f t="shared" si="389"/>
        <v>0</v>
      </c>
      <c r="CF177" s="110">
        <f t="shared" si="389"/>
        <v>0</v>
      </c>
      <c r="CG177" s="110">
        <f t="shared" ref="CG177:CJ177" si="390">+CG176+CG175+CG174</f>
        <v>0</v>
      </c>
      <c r="CH177" s="111">
        <f t="shared" si="390"/>
        <v>0</v>
      </c>
      <c r="CI177" s="109">
        <f t="shared" si="390"/>
        <v>0</v>
      </c>
      <c r="CJ177" s="110">
        <f t="shared" si="390"/>
        <v>0</v>
      </c>
      <c r="CK177" s="110">
        <f t="shared" ref="CK177:CP177" si="391">+CK176+CK175+CK174</f>
        <v>0</v>
      </c>
      <c r="CL177" s="111">
        <f t="shared" si="391"/>
        <v>0</v>
      </c>
      <c r="CM177" s="694">
        <f t="shared" si="391"/>
        <v>0</v>
      </c>
      <c r="CN177" s="695">
        <f t="shared" si="391"/>
        <v>0</v>
      </c>
      <c r="CO177" s="695">
        <f t="shared" si="391"/>
        <v>0</v>
      </c>
      <c r="CP177" s="696">
        <f t="shared" si="391"/>
        <v>0</v>
      </c>
      <c r="CQ177" s="694">
        <f t="shared" ref="CQ177:CT177" si="392">+CQ176+CQ175+CQ174</f>
        <v>0</v>
      </c>
      <c r="CR177" s="695">
        <f t="shared" si="392"/>
        <v>0</v>
      </c>
      <c r="CS177" s="695">
        <f t="shared" si="392"/>
        <v>0</v>
      </c>
      <c r="CT177" s="696">
        <f t="shared" si="392"/>
        <v>0</v>
      </c>
      <c r="CU177" s="694">
        <f t="shared" ref="CU177:CX177" si="393">+CU176+CU175+CU174</f>
        <v>0</v>
      </c>
      <c r="CV177" s="695">
        <f t="shared" si="393"/>
        <v>0</v>
      </c>
      <c r="CW177" s="695">
        <f t="shared" si="393"/>
        <v>0</v>
      </c>
      <c r="CX177" s="696">
        <f t="shared" si="393"/>
        <v>0</v>
      </c>
      <c r="CY177" s="347"/>
      <c r="CZ177" s="347"/>
      <c r="DA177" s="347"/>
      <c r="DB177" s="347"/>
      <c r="DC177" s="347"/>
      <c r="DD177" s="347"/>
      <c r="DE177" s="347"/>
      <c r="DF177" s="347"/>
      <c r="DG177" s="347"/>
      <c r="DH177" s="347"/>
      <c r="DI177" s="347"/>
      <c r="DJ177" s="347"/>
      <c r="DK177" s="347"/>
      <c r="DL177" s="347"/>
      <c r="DM177" s="347"/>
      <c r="DN177" s="347"/>
      <c r="DO177" s="347"/>
      <c r="DP177" s="347"/>
      <c r="DQ177" s="347"/>
      <c r="DR177" s="347"/>
      <c r="DS177" s="347"/>
      <c r="DT177" s="347"/>
      <c r="DU177" s="347"/>
      <c r="DV177" s="347"/>
      <c r="DW177" s="347"/>
      <c r="DX177" s="347"/>
      <c r="DY177" s="347"/>
      <c r="DZ177" s="347"/>
      <c r="EA177" s="347"/>
      <c r="EB177" s="347"/>
      <c r="EC177" s="347"/>
      <c r="ED177" s="347"/>
      <c r="EE177" s="347"/>
      <c r="EF177" s="347"/>
      <c r="EG177" s="347"/>
      <c r="EH177" s="347"/>
      <c r="EI177" s="347"/>
      <c r="EJ177" s="347"/>
      <c r="EK177" s="347"/>
      <c r="EL177" s="347"/>
      <c r="EM177" s="347"/>
      <c r="EN177" s="347"/>
      <c r="EO177" s="347"/>
      <c r="EP177" s="347"/>
      <c r="EQ177" s="347"/>
      <c r="ER177" s="347"/>
      <c r="ES177" s="347"/>
      <c r="ET177" s="347"/>
      <c r="EU177" s="347"/>
      <c r="EV177" s="347"/>
      <c r="EW177" s="347"/>
      <c r="EX177" s="347"/>
      <c r="EY177" s="347"/>
      <c r="EZ177" s="347"/>
      <c r="FA177" s="347"/>
      <c r="FB177" s="347"/>
      <c r="FC177" s="347"/>
      <c r="FD177" s="347"/>
      <c r="FE177" s="347"/>
      <c r="FF177" s="347"/>
      <c r="FG177" s="347"/>
      <c r="FH177" s="347"/>
      <c r="FI177" s="347"/>
      <c r="FJ177" s="347"/>
      <c r="FK177" s="347"/>
      <c r="FL177" s="347"/>
      <c r="FM177" s="347"/>
      <c r="FN177" s="347"/>
      <c r="FO177" s="347"/>
      <c r="FP177" s="347"/>
      <c r="FQ177" s="347"/>
      <c r="FR177" s="347"/>
      <c r="FS177" s="347"/>
      <c r="FT177" s="347"/>
      <c r="FU177" s="347"/>
      <c r="FV177" s="347"/>
      <c r="FW177" s="347"/>
      <c r="FX177" s="347"/>
      <c r="FY177" s="347"/>
      <c r="FZ177" s="347"/>
      <c r="GA177" s="347"/>
      <c r="GB177" s="347"/>
      <c r="GC177" s="347"/>
      <c r="GD177" s="347"/>
      <c r="GE177" s="347"/>
      <c r="GF177" s="347"/>
      <c r="GG177" s="347"/>
      <c r="GH177" s="347"/>
      <c r="GI177" s="347"/>
      <c r="GJ177" s="347"/>
      <c r="GK177" s="347"/>
      <c r="GL177" s="347"/>
      <c r="GM177" s="347"/>
      <c r="GN177" s="347"/>
      <c r="GO177" s="347"/>
      <c r="GP177" s="347"/>
      <c r="GQ177" s="347"/>
      <c r="GR177" s="347"/>
      <c r="GS177" s="347"/>
      <c r="GT177" s="347"/>
      <c r="GU177" s="347"/>
      <c r="GV177" s="347"/>
      <c r="GW177" s="347"/>
      <c r="GX177" s="347"/>
      <c r="GY177" s="347"/>
      <c r="GZ177" s="347"/>
      <c r="HA177" s="347"/>
      <c r="HB177" s="347"/>
      <c r="HC177" s="347"/>
      <c r="HD177" s="347"/>
      <c r="HE177" s="347"/>
      <c r="HF177" s="347"/>
      <c r="HG177" s="347"/>
      <c r="HH177" s="347"/>
      <c r="HI177" s="347"/>
      <c r="HJ177" s="347"/>
      <c r="HK177" s="347"/>
      <c r="HL177" s="347"/>
      <c r="HM177" s="347"/>
      <c r="HN177" s="347"/>
      <c r="HO177" s="347"/>
      <c r="HP177" s="347"/>
      <c r="HQ177" s="347"/>
      <c r="HR177" s="347"/>
      <c r="HS177" s="347"/>
      <c r="HT177" s="347"/>
      <c r="HU177" s="347"/>
      <c r="HV177" s="347"/>
      <c r="HW177" s="347"/>
      <c r="HX177" s="347"/>
      <c r="HY177" s="347"/>
      <c r="HZ177" s="347"/>
      <c r="IA177" s="347"/>
      <c r="IB177" s="347"/>
      <c r="IC177" s="347"/>
      <c r="ID177" s="347"/>
      <c r="IE177" s="347"/>
      <c r="IF177" s="347"/>
      <c r="IG177" s="347"/>
      <c r="IH177" s="347"/>
      <c r="II177" s="347"/>
      <c r="IJ177" s="347"/>
      <c r="IK177" s="347"/>
      <c r="IL177" s="347"/>
      <c r="IM177" s="347"/>
    </row>
    <row r="178" spans="1:247" x14ac:dyDescent="0.25">
      <c r="A178" s="225"/>
      <c r="B178" s="227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Y178" s="22"/>
      <c r="BB178" s="23"/>
      <c r="BC178" s="49"/>
      <c r="BD178" s="50"/>
      <c r="BE178" s="50"/>
      <c r="BF178" s="51"/>
      <c r="BG178" s="49"/>
      <c r="BH178" s="50"/>
      <c r="BK178" s="225"/>
      <c r="BL178" s="208"/>
      <c r="BM178" s="208"/>
      <c r="BN178" s="227"/>
      <c r="BO178" s="288"/>
      <c r="BP178" s="208"/>
      <c r="BQ178" s="208"/>
      <c r="BR178" s="208"/>
      <c r="BS178" s="225"/>
      <c r="BT178" s="208"/>
      <c r="BU178" s="208"/>
      <c r="BV178" s="227"/>
      <c r="BW178" s="208"/>
      <c r="BX178" s="208"/>
      <c r="BY178" s="208"/>
      <c r="BZ178" s="208"/>
      <c r="CA178" s="225"/>
      <c r="CB178" s="208"/>
      <c r="CC178" s="208"/>
      <c r="CD178" s="227"/>
      <c r="CE178" s="225"/>
      <c r="CF178" s="208"/>
      <c r="CG178" s="208"/>
      <c r="CH178" s="227"/>
      <c r="CI178" s="225"/>
      <c r="CJ178" s="208"/>
      <c r="CK178" s="208"/>
      <c r="CL178" s="227"/>
      <c r="CM178" s="225"/>
      <c r="CN178" s="208"/>
      <c r="CO178" s="208"/>
      <c r="CP178" s="227"/>
      <c r="CQ178" s="225"/>
      <c r="CR178" s="208"/>
      <c r="CS178" s="208"/>
      <c r="CT178" s="227"/>
      <c r="CU178" s="225"/>
      <c r="CV178" s="208"/>
      <c r="CW178" s="208"/>
      <c r="CX178" s="227"/>
    </row>
    <row r="179" spans="1:247" x14ac:dyDescent="0.25">
      <c r="A179" s="225"/>
      <c r="B179" s="292" t="s">
        <v>135</v>
      </c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60"/>
      <c r="V179" s="60"/>
      <c r="W179" s="60"/>
      <c r="X179" s="32"/>
      <c r="Y179" s="32"/>
      <c r="Z179" s="32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10"/>
      <c r="AZ179" s="8"/>
      <c r="BA179" s="8"/>
      <c r="BB179" s="9"/>
      <c r="BC179" s="34"/>
      <c r="BD179" s="32"/>
      <c r="BE179" s="32"/>
      <c r="BF179" s="33"/>
      <c r="BG179" s="34"/>
      <c r="BH179" s="32"/>
      <c r="BK179" s="225"/>
      <c r="BL179" s="208"/>
      <c r="BM179" s="208"/>
      <c r="BN179" s="227"/>
      <c r="BO179" s="288"/>
      <c r="BP179" s="208"/>
      <c r="BQ179" s="208"/>
      <c r="BR179" s="208"/>
      <c r="BS179" s="225"/>
      <c r="BT179" s="208"/>
      <c r="BU179" s="208"/>
      <c r="BV179" s="227"/>
      <c r="BW179" s="208"/>
      <c r="BX179" s="208"/>
      <c r="BY179" s="208"/>
      <c r="BZ179" s="208"/>
      <c r="CA179" s="225"/>
      <c r="CB179" s="208"/>
      <c r="CC179" s="208"/>
      <c r="CD179" s="227"/>
      <c r="CE179" s="225"/>
      <c r="CF179" s="208"/>
      <c r="CG179" s="208"/>
      <c r="CH179" s="227"/>
      <c r="CI179" s="225"/>
      <c r="CJ179" s="208"/>
      <c r="CK179" s="208"/>
      <c r="CL179" s="227"/>
      <c r="CM179" s="225"/>
      <c r="CN179" s="208"/>
      <c r="CO179" s="208"/>
      <c r="CP179" s="227"/>
      <c r="CQ179" s="225"/>
      <c r="CR179" s="208"/>
      <c r="CS179" s="208"/>
      <c r="CT179" s="227"/>
      <c r="CU179" s="225"/>
      <c r="CV179" s="208"/>
      <c r="CW179" s="208"/>
      <c r="CX179" s="227"/>
    </row>
    <row r="180" spans="1:247" x14ac:dyDescent="0.25">
      <c r="A180" s="225"/>
      <c r="B180" s="250" t="s">
        <v>66</v>
      </c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4"/>
      <c r="AZ180" s="15">
        <v>280.5</v>
      </c>
      <c r="BA180" s="15">
        <v>745.4</v>
      </c>
      <c r="BB180" s="16">
        <v>856.1</v>
      </c>
      <c r="BC180" s="29">
        <v>626.79999999999995</v>
      </c>
      <c r="BD180" s="30">
        <f>1318.1-BC180</f>
        <v>691.3</v>
      </c>
      <c r="BE180" s="30">
        <v>862.1</v>
      </c>
      <c r="BF180" s="31">
        <v>794.3</v>
      </c>
      <c r="BG180" s="29">
        <v>915.1</v>
      </c>
      <c r="BH180" s="30">
        <v>963.4</v>
      </c>
      <c r="BI180" s="30">
        <v>816.9</v>
      </c>
      <c r="BJ180" s="30">
        <f>666.8</f>
        <v>666.8</v>
      </c>
      <c r="BK180" s="210">
        <v>469.7</v>
      </c>
      <c r="BL180" s="221">
        <v>419.6</v>
      </c>
      <c r="BM180" s="221">
        <v>497.3</v>
      </c>
      <c r="BN180" s="222">
        <v>289.89999999999998</v>
      </c>
      <c r="BO180" s="210">
        <v>127.1</v>
      </c>
      <c r="BP180" s="221">
        <v>164.8</v>
      </c>
      <c r="BQ180" s="221">
        <v>209.4</v>
      </c>
      <c r="BR180" s="221">
        <v>340.5</v>
      </c>
      <c r="BS180" s="210">
        <v>205.9</v>
      </c>
      <c r="BT180" s="221">
        <f>170.8-0.1</f>
        <v>170.70000000000002</v>
      </c>
      <c r="BU180" s="221">
        <v>183.9</v>
      </c>
      <c r="BV180" s="222">
        <v>267.8</v>
      </c>
      <c r="BW180" s="213">
        <v>224</v>
      </c>
      <c r="BX180" s="214">
        <v>224</v>
      </c>
      <c r="BY180" s="214">
        <v>343</v>
      </c>
      <c r="BZ180" s="214">
        <v>249</v>
      </c>
      <c r="CA180" s="213">
        <v>248</v>
      </c>
      <c r="CB180" s="214">
        <v>271</v>
      </c>
      <c r="CC180" s="214">
        <v>246</v>
      </c>
      <c r="CD180" s="259">
        <v>234</v>
      </c>
      <c r="CE180" s="213">
        <v>189</v>
      </c>
      <c r="CF180" s="214">
        <v>148</v>
      </c>
      <c r="CG180" s="214">
        <v>294</v>
      </c>
      <c r="CH180" s="259">
        <v>284</v>
      </c>
      <c r="CI180" s="213">
        <v>326</v>
      </c>
      <c r="CJ180" s="214">
        <v>364</v>
      </c>
      <c r="CK180" s="214">
        <v>354</v>
      </c>
      <c r="CL180" s="259">
        <v>353</v>
      </c>
      <c r="CM180" s="213">
        <v>383</v>
      </c>
      <c r="CN180" s="214">
        <v>480</v>
      </c>
      <c r="CO180" s="214">
        <v>445</v>
      </c>
      <c r="CP180" s="259">
        <v>389</v>
      </c>
      <c r="CQ180" s="213">
        <v>433</v>
      </c>
      <c r="CR180" s="214">
        <v>383</v>
      </c>
      <c r="CS180" s="214">
        <v>500</v>
      </c>
      <c r="CT180" s="259">
        <v>371</v>
      </c>
      <c r="CU180" s="213">
        <v>555</v>
      </c>
      <c r="CV180" s="214">
        <v>682</v>
      </c>
      <c r="CW180" s="214"/>
      <c r="CX180" s="259"/>
    </row>
    <row r="181" spans="1:247" x14ac:dyDescent="0.25">
      <c r="A181" s="225"/>
      <c r="B181" s="250" t="s">
        <v>132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17"/>
      <c r="AZ181" s="6">
        <v>-241.2</v>
      </c>
      <c r="BA181" s="6">
        <v>-738.8</v>
      </c>
      <c r="BB181" s="18">
        <v>-712.8</v>
      </c>
      <c r="BC181" s="38">
        <v>-662.8</v>
      </c>
      <c r="BD181" s="5">
        <f>-1380.8-BC181</f>
        <v>-718</v>
      </c>
      <c r="BE181" s="5">
        <v>-821.7</v>
      </c>
      <c r="BF181" s="39">
        <v>-775.5</v>
      </c>
      <c r="BG181" s="38">
        <v>-739.7</v>
      </c>
      <c r="BH181" s="5">
        <v>-842.3</v>
      </c>
      <c r="BI181" s="5">
        <v>-825.8</v>
      </c>
      <c r="BJ181" s="5">
        <f>-577.2</f>
        <v>-577.20000000000005</v>
      </c>
      <c r="BK181" s="276">
        <v>-541.79999999999995</v>
      </c>
      <c r="BL181" s="244">
        <v>-503.4</v>
      </c>
      <c r="BM181" s="244">
        <v>-570.5</v>
      </c>
      <c r="BN181" s="315">
        <v>-344.8</v>
      </c>
      <c r="BO181" s="276">
        <v>-122.6</v>
      </c>
      <c r="BP181" s="244">
        <v>-141.30000000000001</v>
      </c>
      <c r="BQ181" s="244">
        <v>-162.6</v>
      </c>
      <c r="BR181" s="244">
        <v>-267</v>
      </c>
      <c r="BS181" s="276">
        <v>-145</v>
      </c>
      <c r="BT181" s="244">
        <v>-135.19999999999999</v>
      </c>
      <c r="BU181" s="244">
        <v>-139.1</v>
      </c>
      <c r="BV181" s="315">
        <v>-198.1</v>
      </c>
      <c r="BW181" s="361">
        <v>-171</v>
      </c>
      <c r="BX181" s="417">
        <v>-138</v>
      </c>
      <c r="BY181" s="417">
        <v>-201</v>
      </c>
      <c r="BZ181" s="417">
        <v>-162</v>
      </c>
      <c r="CA181" s="361">
        <v>-170</v>
      </c>
      <c r="CB181" s="417">
        <v>-230</v>
      </c>
      <c r="CC181" s="417">
        <v>-217</v>
      </c>
      <c r="CD181" s="431">
        <v>-192</v>
      </c>
      <c r="CE181" s="361">
        <v>-172</v>
      </c>
      <c r="CF181" s="417">
        <v>-154</v>
      </c>
      <c r="CG181" s="417">
        <v>-256</v>
      </c>
      <c r="CH181" s="431">
        <v>-240</v>
      </c>
      <c r="CI181" s="361">
        <v>-277</v>
      </c>
      <c r="CJ181" s="417">
        <v>-322</v>
      </c>
      <c r="CK181" s="417">
        <v>-336</v>
      </c>
      <c r="CL181" s="431">
        <v>-331</v>
      </c>
      <c r="CM181" s="361">
        <v>-388</v>
      </c>
      <c r="CN181" s="417">
        <v>-444</v>
      </c>
      <c r="CO181" s="417">
        <v>-404</v>
      </c>
      <c r="CP181" s="431">
        <v>-343</v>
      </c>
      <c r="CQ181" s="361">
        <v>-385</v>
      </c>
      <c r="CR181" s="417">
        <v>-321</v>
      </c>
      <c r="CS181" s="417">
        <v>-489</v>
      </c>
      <c r="CT181" s="431">
        <v>-361</v>
      </c>
      <c r="CU181" s="361">
        <v>-521</v>
      </c>
      <c r="CV181" s="417">
        <v>-532</v>
      </c>
      <c r="CW181" s="417"/>
      <c r="CX181" s="431"/>
    </row>
    <row r="182" spans="1:247" x14ac:dyDescent="0.25">
      <c r="A182" s="225"/>
      <c r="B182" s="25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4"/>
      <c r="AZ182" s="15">
        <f t="shared" ref="AZ182:BJ182" si="394">+AZ181+AZ180</f>
        <v>39.300000000000011</v>
      </c>
      <c r="BA182" s="15">
        <f t="shared" si="394"/>
        <v>6.6000000000000227</v>
      </c>
      <c r="BB182" s="16">
        <f t="shared" si="394"/>
        <v>143.30000000000007</v>
      </c>
      <c r="BC182" s="29">
        <f t="shared" si="394"/>
        <v>-36</v>
      </c>
      <c r="BD182" s="30">
        <f t="shared" si="394"/>
        <v>-26.700000000000045</v>
      </c>
      <c r="BE182" s="30">
        <f t="shared" si="394"/>
        <v>40.399999999999977</v>
      </c>
      <c r="BF182" s="31">
        <f t="shared" si="394"/>
        <v>18.799999999999955</v>
      </c>
      <c r="BG182" s="29">
        <f t="shared" si="394"/>
        <v>175.39999999999998</v>
      </c>
      <c r="BH182" s="30">
        <f t="shared" si="394"/>
        <v>121.10000000000002</v>
      </c>
      <c r="BI182" s="30">
        <f t="shared" si="394"/>
        <v>-8.8999999999999773</v>
      </c>
      <c r="BJ182" s="30">
        <f t="shared" si="394"/>
        <v>89.599999999999909</v>
      </c>
      <c r="BK182" s="210">
        <f>+BK181+BK180</f>
        <v>-72.099999999999966</v>
      </c>
      <c r="BL182" s="221">
        <f>+BL181+BL180</f>
        <v>-83.799999999999955</v>
      </c>
      <c r="BM182" s="221">
        <f t="shared" ref="BM182:BR182" si="395">+BM181+BM180</f>
        <v>-73.199999999999989</v>
      </c>
      <c r="BN182" s="222">
        <f t="shared" si="395"/>
        <v>-54.900000000000034</v>
      </c>
      <c r="BO182" s="210">
        <f t="shared" si="395"/>
        <v>4.5</v>
      </c>
      <c r="BP182" s="221">
        <f t="shared" si="395"/>
        <v>23.5</v>
      </c>
      <c r="BQ182" s="221">
        <f t="shared" si="395"/>
        <v>46.800000000000011</v>
      </c>
      <c r="BR182" s="221">
        <f t="shared" si="395"/>
        <v>73.5</v>
      </c>
      <c r="BS182" s="210">
        <f t="shared" ref="BS182:BX182" si="396">+BS181+BS180</f>
        <v>60.900000000000006</v>
      </c>
      <c r="BT182" s="221">
        <f t="shared" si="396"/>
        <v>35.500000000000028</v>
      </c>
      <c r="BU182" s="221">
        <f t="shared" si="396"/>
        <v>44.800000000000011</v>
      </c>
      <c r="BV182" s="222">
        <f t="shared" si="396"/>
        <v>69.700000000000017</v>
      </c>
      <c r="BW182" s="213">
        <f t="shared" si="396"/>
        <v>53</v>
      </c>
      <c r="BX182" s="214">
        <f t="shared" si="396"/>
        <v>86</v>
      </c>
      <c r="BY182" s="214">
        <f t="shared" ref="BY182:BZ182" si="397">+BY181+BY180</f>
        <v>142</v>
      </c>
      <c r="BZ182" s="214">
        <f t="shared" si="397"/>
        <v>87</v>
      </c>
      <c r="CA182" s="213">
        <f t="shared" ref="CA182:CB182" si="398">+CA181+CA180</f>
        <v>78</v>
      </c>
      <c r="CB182" s="214">
        <f t="shared" si="398"/>
        <v>41</v>
      </c>
      <c r="CC182" s="214">
        <f t="shared" ref="CC182:CF182" si="399">+CC181+CC180</f>
        <v>29</v>
      </c>
      <c r="CD182" s="259">
        <f t="shared" si="399"/>
        <v>42</v>
      </c>
      <c r="CE182" s="213">
        <f t="shared" si="399"/>
        <v>17</v>
      </c>
      <c r="CF182" s="214">
        <f t="shared" si="399"/>
        <v>-6</v>
      </c>
      <c r="CG182" s="214">
        <f t="shared" ref="CG182:CJ182" si="400">+CG181+CG180</f>
        <v>38</v>
      </c>
      <c r="CH182" s="259">
        <f t="shared" si="400"/>
        <v>44</v>
      </c>
      <c r="CI182" s="213">
        <f t="shared" si="400"/>
        <v>49</v>
      </c>
      <c r="CJ182" s="214">
        <f t="shared" si="400"/>
        <v>42</v>
      </c>
      <c r="CK182" s="214">
        <f t="shared" ref="CK182:CP182" si="401">+CK181+CK180</f>
        <v>18</v>
      </c>
      <c r="CL182" s="259">
        <f t="shared" si="401"/>
        <v>22</v>
      </c>
      <c r="CM182" s="213">
        <f t="shared" si="401"/>
        <v>-5</v>
      </c>
      <c r="CN182" s="214">
        <f t="shared" si="401"/>
        <v>36</v>
      </c>
      <c r="CO182" s="214">
        <f t="shared" si="401"/>
        <v>41</v>
      </c>
      <c r="CP182" s="259">
        <f t="shared" si="401"/>
        <v>46</v>
      </c>
      <c r="CQ182" s="213">
        <f t="shared" ref="CQ182:CT182" si="402">+CQ181+CQ180</f>
        <v>48</v>
      </c>
      <c r="CR182" s="214">
        <f t="shared" si="402"/>
        <v>62</v>
      </c>
      <c r="CS182" s="214">
        <f t="shared" si="402"/>
        <v>11</v>
      </c>
      <c r="CT182" s="259">
        <f t="shared" si="402"/>
        <v>10</v>
      </c>
      <c r="CU182" s="213">
        <f t="shared" ref="CU182:CX182" si="403">+CU181+CU180</f>
        <v>34</v>
      </c>
      <c r="CV182" s="214">
        <f t="shared" si="403"/>
        <v>150</v>
      </c>
      <c r="CW182" s="214">
        <f t="shared" si="403"/>
        <v>0</v>
      </c>
      <c r="CX182" s="259">
        <f t="shared" si="403"/>
        <v>0</v>
      </c>
    </row>
    <row r="183" spans="1:247" x14ac:dyDescent="0.25">
      <c r="A183" s="225"/>
      <c r="B183" s="250" t="s">
        <v>67</v>
      </c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4"/>
      <c r="AZ183" s="15">
        <v>-31.4</v>
      </c>
      <c r="BA183" s="15">
        <v>-130.80000000000001</v>
      </c>
      <c r="BB183" s="16">
        <v>-146.1</v>
      </c>
      <c r="BC183" s="29">
        <v>-133.69999999999999</v>
      </c>
      <c r="BD183" s="30">
        <f>-312.3-BC183</f>
        <v>-178.60000000000002</v>
      </c>
      <c r="BE183" s="30">
        <v>-207</v>
      </c>
      <c r="BF183" s="31">
        <v>-185.3</v>
      </c>
      <c r="BG183" s="29">
        <v>-209.7</v>
      </c>
      <c r="BH183" s="30">
        <v>-216</v>
      </c>
      <c r="BI183" s="30">
        <v>-169.6</v>
      </c>
      <c r="BJ183" s="30">
        <v>-175.5</v>
      </c>
      <c r="BK183" s="210">
        <f>-127.6</f>
        <v>-127.6</v>
      </c>
      <c r="BL183" s="221">
        <v>-114.3</v>
      </c>
      <c r="BM183" s="221">
        <v>-11.3</v>
      </c>
      <c r="BN183" s="222">
        <v>-3.3</v>
      </c>
      <c r="BO183" s="210">
        <v>-1.4</v>
      </c>
      <c r="BP183" s="221">
        <v>-1.6</v>
      </c>
      <c r="BQ183" s="221">
        <v>-1.4</v>
      </c>
      <c r="BR183" s="221">
        <v>-1.3</v>
      </c>
      <c r="BS183" s="210">
        <v>0</v>
      </c>
      <c r="BT183" s="221">
        <v>-7.5</v>
      </c>
      <c r="BU183" s="221">
        <v>-3.8</v>
      </c>
      <c r="BV183" s="222">
        <v>-3.8</v>
      </c>
      <c r="BW183" s="213">
        <v>-4</v>
      </c>
      <c r="BX183" s="214">
        <v>-4</v>
      </c>
      <c r="BY183" s="214">
        <v>-3</v>
      </c>
      <c r="BZ183" s="214">
        <v>-3</v>
      </c>
      <c r="CA183" s="213">
        <v>-3</v>
      </c>
      <c r="CB183" s="214">
        <v>-3</v>
      </c>
      <c r="CC183" s="214">
        <v>-3</v>
      </c>
      <c r="CD183" s="259">
        <v>-3</v>
      </c>
      <c r="CE183" s="213">
        <v>-2</v>
      </c>
      <c r="CF183" s="214">
        <v>-1</v>
      </c>
      <c r="CG183" s="214">
        <v>0</v>
      </c>
      <c r="CH183" s="259">
        <v>0</v>
      </c>
      <c r="CI183" s="213">
        <v>0</v>
      </c>
      <c r="CJ183" s="214">
        <v>0</v>
      </c>
      <c r="CK183" s="214">
        <v>0</v>
      </c>
      <c r="CL183" s="259">
        <v>0</v>
      </c>
      <c r="CM183" s="693">
        <v>0</v>
      </c>
      <c r="CN183" s="681">
        <v>0</v>
      </c>
      <c r="CO183" s="681">
        <v>0</v>
      </c>
      <c r="CP183" s="682">
        <v>0</v>
      </c>
      <c r="CQ183" s="693">
        <v>0</v>
      </c>
      <c r="CR183" s="681">
        <v>0</v>
      </c>
      <c r="CS183" s="681">
        <v>0</v>
      </c>
      <c r="CT183" s="682">
        <v>0</v>
      </c>
      <c r="CU183" s="693">
        <v>0</v>
      </c>
      <c r="CV183" s="681">
        <v>0</v>
      </c>
      <c r="CW183" s="681"/>
      <c r="CX183" s="682"/>
    </row>
    <row r="184" spans="1:247" x14ac:dyDescent="0.25">
      <c r="A184" s="225"/>
      <c r="B184" s="250" t="s">
        <v>68</v>
      </c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4"/>
      <c r="AZ184" s="15">
        <v>-7.2</v>
      </c>
      <c r="BA184" s="15">
        <v>-15.6</v>
      </c>
      <c r="BB184" s="16">
        <v>-47.8</v>
      </c>
      <c r="BC184" s="29">
        <v>-30.2</v>
      </c>
      <c r="BD184" s="30">
        <f>-74.2-BC184</f>
        <v>-44</v>
      </c>
      <c r="BE184" s="30">
        <v>-2.9</v>
      </c>
      <c r="BF184" s="31">
        <f>-6.9-12.1</f>
        <v>-19</v>
      </c>
      <c r="BG184" s="29">
        <f>-10.7-2.5</f>
        <v>-13.2</v>
      </c>
      <c r="BH184" s="30">
        <f>-17.7-817.9</f>
        <v>-835.6</v>
      </c>
      <c r="BI184" s="15">
        <f>178.5-226.2</f>
        <v>-47.699999999999989</v>
      </c>
      <c r="BJ184" s="30">
        <f>85.7-442+25.5-354.9</f>
        <v>-685.7</v>
      </c>
      <c r="BK184" s="210">
        <f>199.7-284</f>
        <v>-84.300000000000011</v>
      </c>
      <c r="BL184" s="221">
        <f>198.1-2500.8</f>
        <v>-2302.7000000000003</v>
      </c>
      <c r="BM184" s="221">
        <v>-103</v>
      </c>
      <c r="BN184" s="222">
        <v>-1559</v>
      </c>
      <c r="BO184" s="210">
        <v>-175</v>
      </c>
      <c r="BP184" s="221">
        <v>-189.5</v>
      </c>
      <c r="BQ184" s="221">
        <f>-179.5-35.8-3.5</f>
        <v>-218.8</v>
      </c>
      <c r="BR184" s="221">
        <f>-119.9-13.4-50</f>
        <v>-183.3</v>
      </c>
      <c r="BS184" s="210">
        <f>-116.3-22.1+0.1</f>
        <v>-138.30000000000001</v>
      </c>
      <c r="BT184" s="221">
        <f>-179.2+0.1</f>
        <v>-179.1</v>
      </c>
      <c r="BU184" s="221">
        <f>-142.1-44.5-4.1</f>
        <v>-190.7</v>
      </c>
      <c r="BV184" s="222">
        <f>-142.3-133.4-0.6</f>
        <v>-276.30000000000007</v>
      </c>
      <c r="BW184" s="213">
        <v>-169</v>
      </c>
      <c r="BX184" s="214">
        <v>-201</v>
      </c>
      <c r="BY184" s="214">
        <v>-194</v>
      </c>
      <c r="BZ184" s="214">
        <v>-166</v>
      </c>
      <c r="CA184" s="213">
        <v>-167</v>
      </c>
      <c r="CB184" s="214">
        <v>-178</v>
      </c>
      <c r="CC184" s="214">
        <v>-187</v>
      </c>
      <c r="CD184" s="259">
        <v>-111</v>
      </c>
      <c r="CE184" s="213">
        <v>-180</v>
      </c>
      <c r="CF184" s="214">
        <v>-219</v>
      </c>
      <c r="CG184" s="214">
        <v>-239</v>
      </c>
      <c r="CH184" s="259">
        <v>-286</v>
      </c>
      <c r="CI184" s="213">
        <v>-250</v>
      </c>
      <c r="CJ184" s="214">
        <v>-286</v>
      </c>
      <c r="CK184" s="214">
        <v>-290</v>
      </c>
      <c r="CL184" s="259">
        <v>-255</v>
      </c>
      <c r="CM184" s="213">
        <v>-273</v>
      </c>
      <c r="CN184" s="214">
        <v>-288</v>
      </c>
      <c r="CO184" s="214">
        <v>-265</v>
      </c>
      <c r="CP184" s="259">
        <v>-556</v>
      </c>
      <c r="CQ184" s="213">
        <v>-244</v>
      </c>
      <c r="CR184" s="214">
        <v>-300</v>
      </c>
      <c r="CS184" s="214">
        <v>-355</v>
      </c>
      <c r="CT184" s="259">
        <v>-407</v>
      </c>
      <c r="CU184" s="213">
        <v>-285</v>
      </c>
      <c r="CV184" s="214">
        <v>-292</v>
      </c>
      <c r="CW184" s="214"/>
      <c r="CX184" s="259"/>
    </row>
    <row r="185" spans="1:247" x14ac:dyDescent="0.25">
      <c r="A185" s="225"/>
      <c r="B185" s="250" t="s">
        <v>178</v>
      </c>
      <c r="C185" s="169"/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/>
      <c r="O185" s="169"/>
      <c r="P185" s="169"/>
      <c r="Q185" s="169"/>
      <c r="R185" s="169"/>
      <c r="S185" s="169"/>
      <c r="T185" s="169"/>
      <c r="U185" s="169"/>
      <c r="V185" s="169"/>
      <c r="W185" s="169"/>
      <c r="X185" s="169"/>
      <c r="Y185" s="169"/>
      <c r="Z185" s="169"/>
      <c r="AA185" s="170"/>
      <c r="AB185" s="170"/>
      <c r="AC185" s="170"/>
      <c r="AD185" s="170"/>
      <c r="AE185" s="170"/>
      <c r="AF185" s="170"/>
      <c r="AG185" s="170"/>
      <c r="AH185" s="170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4"/>
      <c r="AZ185" s="15">
        <v>-1.3</v>
      </c>
      <c r="BA185" s="15">
        <v>-3.8</v>
      </c>
      <c r="BB185" s="16">
        <v>-3.3</v>
      </c>
      <c r="BC185" s="29">
        <v>-4.0999999999999996</v>
      </c>
      <c r="BD185" s="30">
        <f>-8.5-BC185</f>
        <v>-4.4000000000000004</v>
      </c>
      <c r="BE185" s="30">
        <v>-4.3</v>
      </c>
      <c r="BF185" s="31">
        <v>-3.9</v>
      </c>
      <c r="BG185" s="29">
        <v>-4.5999999999999996</v>
      </c>
      <c r="BH185" s="30">
        <v>-3.9</v>
      </c>
      <c r="BI185" s="30">
        <v>-4.9000000000000004</v>
      </c>
      <c r="BJ185" s="30">
        <v>-2.2999999999999998</v>
      </c>
      <c r="BK185" s="210">
        <f>-2.3</f>
        <v>-2.2999999999999998</v>
      </c>
      <c r="BL185" s="221">
        <v>-2.1</v>
      </c>
      <c r="BM185" s="221">
        <v>-2.5</v>
      </c>
      <c r="BN185" s="222">
        <v>-6.8</v>
      </c>
      <c r="BO185" s="210">
        <v>-0.6</v>
      </c>
      <c r="BP185" s="221">
        <v>-0.8</v>
      </c>
      <c r="BQ185" s="221">
        <v>-1.6</v>
      </c>
      <c r="BR185" s="221">
        <v>-1.2</v>
      </c>
      <c r="BS185" s="210">
        <v>-1</v>
      </c>
      <c r="BT185" s="221">
        <f>-0.9-0.1</f>
        <v>-1</v>
      </c>
      <c r="BU185" s="221">
        <v>-0.9</v>
      </c>
      <c r="BV185" s="222">
        <v>-1.3</v>
      </c>
      <c r="BW185" s="213">
        <v>-1</v>
      </c>
      <c r="BX185" s="214">
        <v>-1</v>
      </c>
      <c r="BY185" s="214">
        <v>-2</v>
      </c>
      <c r="BZ185" s="214">
        <v>-1</v>
      </c>
      <c r="CA185" s="213">
        <v>-1</v>
      </c>
      <c r="CB185" s="214">
        <v>-1</v>
      </c>
      <c r="CC185" s="214">
        <v>-1</v>
      </c>
      <c r="CD185" s="259">
        <v>-1</v>
      </c>
      <c r="CE185" s="213">
        <v>-1</v>
      </c>
      <c r="CF185" s="214">
        <v>-1</v>
      </c>
      <c r="CG185" s="214">
        <v>-1</v>
      </c>
      <c r="CH185" s="259">
        <v>-1</v>
      </c>
      <c r="CI185" s="213">
        <v>-2</v>
      </c>
      <c r="CJ185" s="214">
        <v>-1</v>
      </c>
      <c r="CK185" s="214">
        <v>-1</v>
      </c>
      <c r="CL185" s="259">
        <v>-1</v>
      </c>
      <c r="CM185" s="213">
        <v>-1</v>
      </c>
      <c r="CN185" s="214">
        <v>-2</v>
      </c>
      <c r="CO185" s="214">
        <v>-2</v>
      </c>
      <c r="CP185" s="259">
        <v>-2</v>
      </c>
      <c r="CQ185" s="213">
        <v>-2</v>
      </c>
      <c r="CR185" s="214">
        <v>-2</v>
      </c>
      <c r="CS185" s="214">
        <v>-2</v>
      </c>
      <c r="CT185" s="259">
        <v>2</v>
      </c>
      <c r="CU185" s="213">
        <v>-3</v>
      </c>
      <c r="CV185" s="214">
        <v>-2</v>
      </c>
      <c r="CW185" s="214"/>
      <c r="CX185" s="259"/>
    </row>
    <row r="186" spans="1:247" x14ac:dyDescent="0.25">
      <c r="A186" s="225"/>
      <c r="B186" s="250" t="s">
        <v>69</v>
      </c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4"/>
      <c r="AZ186" s="15">
        <f>0.9</f>
        <v>0.9</v>
      </c>
      <c r="BA186" s="15">
        <v>40.799999999999997</v>
      </c>
      <c r="BB186" s="16">
        <v>37.1</v>
      </c>
      <c r="BC186" s="29">
        <v>37.299999999999997</v>
      </c>
      <c r="BD186" s="30">
        <f>61.9-BC186</f>
        <v>24.6</v>
      </c>
      <c r="BE186" s="30">
        <v>53.8</v>
      </c>
      <c r="BF186" s="31">
        <v>6.3</v>
      </c>
      <c r="BG186" s="29">
        <v>0.4</v>
      </c>
      <c r="BH186" s="30">
        <f>-0.8-8</f>
        <v>-8.8000000000000007</v>
      </c>
      <c r="BI186" s="30">
        <v>10.7</v>
      </c>
      <c r="BJ186" s="30">
        <f>24.5-0.1+7.5</f>
        <v>31.9</v>
      </c>
      <c r="BK186" s="210">
        <v>5.2</v>
      </c>
      <c r="BL186" s="221">
        <v>-3.7</v>
      </c>
      <c r="BM186" s="221">
        <v>0</v>
      </c>
      <c r="BN186" s="222">
        <v>0</v>
      </c>
      <c r="BO186" s="210">
        <v>0.8</v>
      </c>
      <c r="BP186" s="221">
        <v>0</v>
      </c>
      <c r="BQ186" s="221">
        <v>0</v>
      </c>
      <c r="BR186" s="221">
        <v>0</v>
      </c>
      <c r="BS186" s="210">
        <v>0</v>
      </c>
      <c r="BT186" s="221">
        <v>0</v>
      </c>
      <c r="BU186" s="221">
        <v>0</v>
      </c>
      <c r="BV186" s="222">
        <v>0</v>
      </c>
      <c r="BW186" s="213">
        <v>0</v>
      </c>
      <c r="BX186" s="214">
        <v>0</v>
      </c>
      <c r="BY186" s="214">
        <v>0</v>
      </c>
      <c r="BZ186" s="214">
        <v>0</v>
      </c>
      <c r="CA186" s="213"/>
      <c r="CB186" s="214"/>
      <c r="CC186" s="214"/>
      <c r="CD186" s="259"/>
      <c r="CE186" s="213"/>
      <c r="CF186" s="214"/>
      <c r="CG186" s="214"/>
      <c r="CH186" s="259"/>
      <c r="CI186" s="213">
        <v>0</v>
      </c>
      <c r="CJ186" s="214">
        <v>0</v>
      </c>
      <c r="CK186" s="214">
        <v>0</v>
      </c>
      <c r="CL186" s="259">
        <v>0</v>
      </c>
      <c r="CM186" s="693">
        <v>0</v>
      </c>
      <c r="CN186" s="681">
        <v>0</v>
      </c>
      <c r="CO186" s="681">
        <v>0</v>
      </c>
      <c r="CP186" s="259">
        <v>1</v>
      </c>
      <c r="CQ186" s="213">
        <v>1</v>
      </c>
      <c r="CR186" s="681">
        <v>0</v>
      </c>
      <c r="CS186" s="681">
        <v>0</v>
      </c>
      <c r="CT186" s="682">
        <v>0</v>
      </c>
      <c r="CU186" s="213">
        <v>0</v>
      </c>
      <c r="CV186" s="681">
        <v>0</v>
      </c>
      <c r="CW186" s="681"/>
      <c r="CX186" s="682"/>
    </row>
    <row r="187" spans="1:247" s="1" customFormat="1" ht="15.75" thickBot="1" x14ac:dyDescent="0.3">
      <c r="A187" s="306"/>
      <c r="B187" s="303" t="s">
        <v>70</v>
      </c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2"/>
      <c r="AZ187" s="81">
        <f>SUM(AZ182:AZ186)</f>
        <v>0.30000000000001259</v>
      </c>
      <c r="BA187" s="81">
        <f>SUM(BA182:BA186)</f>
        <v>-102.8</v>
      </c>
      <c r="BB187" s="83">
        <f t="shared" ref="BB187:BJ187" si="404">SUM(BB182:BB186)</f>
        <v>-16.799999999999919</v>
      </c>
      <c r="BC187" s="84">
        <f t="shared" si="404"/>
        <v>-166.7</v>
      </c>
      <c r="BD187" s="80">
        <f t="shared" si="404"/>
        <v>-229.10000000000008</v>
      </c>
      <c r="BE187" s="80">
        <f t="shared" si="404"/>
        <v>-120.00000000000004</v>
      </c>
      <c r="BF187" s="85">
        <f t="shared" si="404"/>
        <v>-183.10000000000005</v>
      </c>
      <c r="BG187" s="84">
        <f t="shared" si="404"/>
        <v>-51.700000000000017</v>
      </c>
      <c r="BH187" s="85">
        <f t="shared" si="404"/>
        <v>-943.19999999999993</v>
      </c>
      <c r="BI187" s="85">
        <f t="shared" si="404"/>
        <v>-220.39999999999998</v>
      </c>
      <c r="BJ187" s="80">
        <f t="shared" si="404"/>
        <v>-742.00000000000011</v>
      </c>
      <c r="BK187" s="127">
        <f t="shared" ref="BK187:BR187" si="405">SUM(BK182:BK186)</f>
        <v>-281.10000000000002</v>
      </c>
      <c r="BL187" s="120">
        <f t="shared" si="405"/>
        <v>-2506.6</v>
      </c>
      <c r="BM187" s="120">
        <f t="shared" si="405"/>
        <v>-190</v>
      </c>
      <c r="BN187" s="120">
        <f t="shared" si="405"/>
        <v>-1624</v>
      </c>
      <c r="BO187" s="118">
        <f t="shared" si="405"/>
        <v>-171.7</v>
      </c>
      <c r="BP187" s="119">
        <f t="shared" si="405"/>
        <v>-168.4</v>
      </c>
      <c r="BQ187" s="119">
        <f t="shared" si="405"/>
        <v>-175</v>
      </c>
      <c r="BR187" s="119">
        <f t="shared" si="405"/>
        <v>-112.30000000000001</v>
      </c>
      <c r="BS187" s="118">
        <f t="shared" ref="BS187:BX187" si="406">SUM(BS182:BS186)</f>
        <v>-78.400000000000006</v>
      </c>
      <c r="BT187" s="119">
        <f t="shared" si="406"/>
        <v>-152.09999999999997</v>
      </c>
      <c r="BU187" s="119">
        <f t="shared" si="406"/>
        <v>-150.6</v>
      </c>
      <c r="BV187" s="120">
        <f t="shared" si="406"/>
        <v>-211.70000000000005</v>
      </c>
      <c r="BW187" s="419">
        <f t="shared" si="406"/>
        <v>-121</v>
      </c>
      <c r="BX187" s="418">
        <f t="shared" si="406"/>
        <v>-120</v>
      </c>
      <c r="BY187" s="418">
        <f t="shared" ref="BY187:BZ187" si="407">SUM(BY182:BY186)</f>
        <v>-57</v>
      </c>
      <c r="BZ187" s="418">
        <f t="shared" si="407"/>
        <v>-83</v>
      </c>
      <c r="CA187" s="419">
        <f t="shared" ref="CA187:CB187" si="408">SUM(CA182:CA186)</f>
        <v>-93</v>
      </c>
      <c r="CB187" s="418">
        <f t="shared" si="408"/>
        <v>-141</v>
      </c>
      <c r="CC187" s="418">
        <f t="shared" ref="CC187:CF187" si="409">SUM(CC182:CC186)</f>
        <v>-162</v>
      </c>
      <c r="CD187" s="465">
        <f t="shared" si="409"/>
        <v>-73</v>
      </c>
      <c r="CE187" s="419">
        <f t="shared" si="409"/>
        <v>-166</v>
      </c>
      <c r="CF187" s="418">
        <f t="shared" si="409"/>
        <v>-227</v>
      </c>
      <c r="CG187" s="418">
        <f t="shared" ref="CG187:CJ187" si="410">SUM(CG182:CG186)</f>
        <v>-202</v>
      </c>
      <c r="CH187" s="465">
        <f t="shared" si="410"/>
        <v>-243</v>
      </c>
      <c r="CI187" s="419">
        <f t="shared" si="410"/>
        <v>-203</v>
      </c>
      <c r="CJ187" s="418">
        <f t="shared" si="410"/>
        <v>-245</v>
      </c>
      <c r="CK187" s="418">
        <f t="shared" ref="CK187:CP187" si="411">SUM(CK182:CK186)</f>
        <v>-273</v>
      </c>
      <c r="CL187" s="465">
        <f t="shared" si="411"/>
        <v>-234</v>
      </c>
      <c r="CM187" s="419">
        <f t="shared" si="411"/>
        <v>-279</v>
      </c>
      <c r="CN187" s="418">
        <f t="shared" si="411"/>
        <v>-254</v>
      </c>
      <c r="CO187" s="418">
        <f t="shared" si="411"/>
        <v>-226</v>
      </c>
      <c r="CP187" s="465">
        <f t="shared" si="411"/>
        <v>-511</v>
      </c>
      <c r="CQ187" s="419">
        <f t="shared" ref="CQ187:CT187" si="412">SUM(CQ182:CQ186)</f>
        <v>-197</v>
      </c>
      <c r="CR187" s="418">
        <f t="shared" si="412"/>
        <v>-240</v>
      </c>
      <c r="CS187" s="418">
        <f t="shared" si="412"/>
        <v>-346</v>
      </c>
      <c r="CT187" s="465">
        <f t="shared" si="412"/>
        <v>-395</v>
      </c>
      <c r="CU187" s="419">
        <f t="shared" ref="CU187:CX187" si="413">SUM(CU182:CU186)</f>
        <v>-254</v>
      </c>
      <c r="CV187" s="418">
        <f t="shared" si="413"/>
        <v>-144</v>
      </c>
      <c r="CW187" s="418">
        <f t="shared" si="413"/>
        <v>0</v>
      </c>
      <c r="CX187" s="465">
        <f t="shared" si="413"/>
        <v>0</v>
      </c>
      <c r="CY187" s="347"/>
      <c r="CZ187" s="347"/>
      <c r="DA187" s="347"/>
      <c r="DB187" s="347"/>
      <c r="DC187" s="347"/>
      <c r="DD187" s="347"/>
      <c r="DE187" s="347"/>
      <c r="DF187" s="347"/>
      <c r="DG187" s="347"/>
      <c r="DH187" s="347"/>
      <c r="DI187" s="347"/>
      <c r="DJ187" s="347"/>
      <c r="DK187" s="347"/>
      <c r="DL187" s="347"/>
      <c r="DM187" s="347"/>
      <c r="DN187" s="347"/>
      <c r="DO187" s="347"/>
    </row>
    <row r="188" spans="1:247" ht="16.5" thickTop="1" x14ac:dyDescent="0.25">
      <c r="A188" s="225"/>
      <c r="B188" s="308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180"/>
      <c r="AW188" s="180"/>
      <c r="AX188" s="180"/>
      <c r="AY188" s="24"/>
      <c r="AZ188" s="8"/>
      <c r="BA188" s="8"/>
      <c r="BB188" s="9"/>
      <c r="BC188" s="34"/>
      <c r="BD188" s="32"/>
      <c r="BE188" s="32"/>
      <c r="BF188" s="33"/>
      <c r="BG188" s="34"/>
      <c r="BH188" t="s">
        <v>113</v>
      </c>
      <c r="BK188" s="225"/>
      <c r="BL188" s="319" t="s">
        <v>114</v>
      </c>
      <c r="BM188" s="208"/>
      <c r="BN188" s="227"/>
      <c r="BO188" s="225"/>
      <c r="BP188" s="208"/>
      <c r="BQ188" s="208"/>
      <c r="BR188" s="208"/>
      <c r="BS188" s="225"/>
      <c r="BT188" s="208"/>
      <c r="BU188" s="208"/>
      <c r="BV188" s="227"/>
      <c r="BW188" s="208"/>
      <c r="BX188" s="208"/>
      <c r="BY188" s="208"/>
      <c r="BZ188" s="208"/>
      <c r="CA188" s="225"/>
      <c r="CB188" s="208"/>
      <c r="CC188" s="208"/>
      <c r="CD188" s="227"/>
      <c r="CE188" s="225"/>
      <c r="CF188" s="208"/>
      <c r="CG188" s="208"/>
      <c r="CH188" s="227"/>
      <c r="CI188" s="225"/>
      <c r="CJ188" s="208"/>
      <c r="CK188" s="208"/>
      <c r="CL188" s="227"/>
      <c r="CM188" s="225"/>
      <c r="CN188" s="208"/>
      <c r="CO188" s="208"/>
      <c r="CP188" s="227"/>
      <c r="CQ188" s="225"/>
      <c r="CR188" s="208"/>
      <c r="CS188" s="208"/>
      <c r="CT188" s="227"/>
      <c r="CU188" s="225"/>
      <c r="CV188" s="208"/>
      <c r="CW188" s="208"/>
      <c r="CX188" s="227"/>
    </row>
    <row r="189" spans="1:247" x14ac:dyDescent="0.25">
      <c r="A189" s="225"/>
      <c r="B189" s="292" t="s">
        <v>71</v>
      </c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10"/>
      <c r="AZ189" s="8"/>
      <c r="BA189" s="8"/>
      <c r="BB189" s="9"/>
      <c r="BC189" s="34"/>
      <c r="BD189" s="32"/>
      <c r="BE189" s="32"/>
      <c r="BF189" s="33"/>
      <c r="BG189" s="34"/>
      <c r="BH189" s="32"/>
      <c r="BK189" s="320"/>
      <c r="BL189" s="208"/>
      <c r="BM189" s="208"/>
      <c r="BN189" s="227"/>
      <c r="BO189" s="225"/>
      <c r="BP189" s="208"/>
      <c r="BQ189" s="208"/>
      <c r="BR189" s="208"/>
      <c r="BS189" s="225"/>
      <c r="BT189" s="208"/>
      <c r="BU189" s="208"/>
      <c r="BV189" s="227"/>
      <c r="BW189" s="208"/>
      <c r="BX189" s="208"/>
      <c r="BY189" s="208"/>
      <c r="BZ189" s="208"/>
      <c r="CA189" s="225"/>
      <c r="CB189" s="208"/>
      <c r="CC189" s="208"/>
      <c r="CD189" s="227"/>
      <c r="CE189" s="225"/>
      <c r="CF189" s="208"/>
      <c r="CG189" s="208"/>
      <c r="CH189" s="227"/>
      <c r="CI189" s="225"/>
      <c r="CJ189" s="208"/>
      <c r="CK189" s="208"/>
      <c r="CL189" s="227"/>
      <c r="CM189" s="225"/>
      <c r="CN189" s="208"/>
      <c r="CO189" s="208"/>
      <c r="CP189" s="227"/>
      <c r="CQ189" s="225"/>
      <c r="CR189" s="208"/>
      <c r="CS189" s="208"/>
      <c r="CT189" s="227"/>
      <c r="CU189" s="225"/>
      <c r="CV189" s="208"/>
      <c r="CW189" s="208"/>
      <c r="CX189" s="227"/>
    </row>
    <row r="190" spans="1:247" x14ac:dyDescent="0.25">
      <c r="A190" s="225"/>
      <c r="B190" s="227" t="s">
        <v>72</v>
      </c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10"/>
      <c r="AZ190" s="8">
        <f t="shared" ref="AZ190:BG190" si="414">+AZ180*(1000000)/(AZ168)</f>
        <v>436236.39191290824</v>
      </c>
      <c r="BA190" s="8">
        <f t="shared" si="414"/>
        <v>440804.25783560023</v>
      </c>
      <c r="BB190" s="9">
        <f t="shared" si="414"/>
        <v>434348.0466768138</v>
      </c>
      <c r="BC190" s="34">
        <f t="shared" si="414"/>
        <v>457518.2481751825</v>
      </c>
      <c r="BD190" s="32">
        <f t="shared" si="414"/>
        <v>467410.41244083841</v>
      </c>
      <c r="BE190" s="32">
        <f t="shared" si="414"/>
        <v>469042.43743199127</v>
      </c>
      <c r="BF190" s="33">
        <f t="shared" si="414"/>
        <v>507539.93610223645</v>
      </c>
      <c r="BG190" s="34">
        <f t="shared" si="414"/>
        <v>595768.22916666663</v>
      </c>
      <c r="BH190" s="32">
        <f>+BH180*(1000000)/(BH168)-63</f>
        <v>606612.06297229219</v>
      </c>
      <c r="BI190" s="32">
        <f>+BI180*(1000000)/(BI168)</f>
        <v>606008.90207715135</v>
      </c>
      <c r="BJ190" s="32">
        <f>+BJ180*(1000000)/(BJ168)+5394</f>
        <v>570000.26587637595</v>
      </c>
      <c r="BK190" s="213">
        <f>+BK180*(1000000)/(BK168)-6400</f>
        <v>519579.84322508401</v>
      </c>
      <c r="BL190" s="214">
        <f t="shared" ref="BL190:BQ190" si="415">+BL180*(1000000)/(BL168)</f>
        <v>528463.47607052897</v>
      </c>
      <c r="BM190" s="214">
        <f t="shared" si="415"/>
        <v>547687.22466960351</v>
      </c>
      <c r="BN190" s="259">
        <f t="shared" si="415"/>
        <v>566210.9375</v>
      </c>
      <c r="BO190" s="213">
        <f t="shared" si="415"/>
        <v>529583.33333333337</v>
      </c>
      <c r="BP190" s="214">
        <f t="shared" si="415"/>
        <v>547508.30564784049</v>
      </c>
      <c r="BQ190" s="214">
        <f t="shared" si="415"/>
        <v>549606.29921259847</v>
      </c>
      <c r="BR190" s="214">
        <v>564623</v>
      </c>
      <c r="BS190" s="213">
        <v>593372</v>
      </c>
      <c r="BT190" s="214">
        <v>601408</v>
      </c>
      <c r="BU190" s="214">
        <v>683643</v>
      </c>
      <c r="BV190" s="259">
        <v>690206</v>
      </c>
      <c r="BW190" s="214">
        <v>757432</v>
      </c>
      <c r="BX190" s="214">
        <v>974783</v>
      </c>
      <c r="BY190" s="214">
        <v>1025749</v>
      </c>
      <c r="BZ190" s="214">
        <v>937736</v>
      </c>
      <c r="CA190" s="213">
        <v>870526</v>
      </c>
      <c r="CB190" s="214">
        <v>816265</v>
      </c>
      <c r="CC190" s="214">
        <v>842466</v>
      </c>
      <c r="CD190" s="259">
        <v>879699</v>
      </c>
      <c r="CE190" s="213">
        <v>913043</v>
      </c>
      <c r="CF190" s="214">
        <v>930818</v>
      </c>
      <c r="CG190" s="214">
        <v>945338</v>
      </c>
      <c r="CH190" s="259">
        <v>962712</v>
      </c>
      <c r="CI190" s="213">
        <v>1061889</v>
      </c>
      <c r="CJ190" s="214">
        <v>1181818</v>
      </c>
      <c r="CK190" s="214">
        <v>1153094</v>
      </c>
      <c r="CL190" s="259">
        <v>1188552</v>
      </c>
      <c r="CM190" s="213">
        <v>1251634</v>
      </c>
      <c r="CN190" s="214">
        <v>1391304</v>
      </c>
      <c r="CO190" s="214">
        <v>1430868</v>
      </c>
      <c r="CP190" s="259">
        <v>1525490</v>
      </c>
      <c r="CQ190" s="213">
        <v>1665385</v>
      </c>
      <c r="CR190" s="214">
        <v>1924623</v>
      </c>
      <c r="CS190" s="214">
        <v>1908397</v>
      </c>
      <c r="CT190" s="259">
        <v>2262195</v>
      </c>
      <c r="CU190" s="213">
        <v>2522727</v>
      </c>
      <c r="CV190" s="214">
        <v>2368056</v>
      </c>
      <c r="CW190" s="214"/>
      <c r="CX190" s="259"/>
    </row>
    <row r="191" spans="1:247" x14ac:dyDescent="0.25">
      <c r="A191" s="225"/>
      <c r="B191" s="227" t="s">
        <v>73</v>
      </c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10"/>
      <c r="AZ191" s="8">
        <v>1270</v>
      </c>
      <c r="BA191" s="8">
        <f t="shared" ref="BA191:BH191" si="416">+BA190/(32.15074)/(BA202)</f>
        <v>1278.9690119490676</v>
      </c>
      <c r="BB191" s="9">
        <f t="shared" si="416"/>
        <v>1206.2265315244406</v>
      </c>
      <c r="BC191" s="34">
        <f t="shared" si="416"/>
        <v>1216.2744551340536</v>
      </c>
      <c r="BD191" s="32">
        <f t="shared" si="416"/>
        <v>1204.4815152997871</v>
      </c>
      <c r="BE191" s="32">
        <f t="shared" si="416"/>
        <v>1122.2195039606727</v>
      </c>
      <c r="BF191" s="33">
        <f t="shared" si="416"/>
        <v>1110.9260980207907</v>
      </c>
      <c r="BG191" s="34">
        <f t="shared" si="416"/>
        <v>1173.55712982709</v>
      </c>
      <c r="BH191" s="32">
        <f t="shared" si="416"/>
        <v>1260.3706133650637</v>
      </c>
      <c r="BI191" s="32">
        <f t="shared" ref="BI191:BP191" si="417">+BI190/(32.15074)/(BI202)</f>
        <v>1340.6107878615533</v>
      </c>
      <c r="BJ191" s="32">
        <f t="shared" si="417"/>
        <v>1277.3050192968428</v>
      </c>
      <c r="BK191" s="213">
        <f t="shared" si="417"/>
        <v>1223.3719077407004</v>
      </c>
      <c r="BL191" s="214">
        <f t="shared" si="417"/>
        <v>1245.2314261981194</v>
      </c>
      <c r="BM191" s="214">
        <f t="shared" si="417"/>
        <v>1292.4871294792108</v>
      </c>
      <c r="BN191" s="259">
        <f t="shared" si="417"/>
        <v>1292.0860129507028</v>
      </c>
      <c r="BO191" s="213">
        <f t="shared" si="417"/>
        <v>1377.2480173348192</v>
      </c>
      <c r="BP191" s="214">
        <f t="shared" si="417"/>
        <v>1346.1988428266041</v>
      </c>
      <c r="BQ191" s="214">
        <f>+BQ190/(32.15074)/(BQ202)-1</f>
        <v>1215.7025102673726</v>
      </c>
      <c r="BR191" s="214">
        <f>+BR190/(32.15074)/(BR202)+1</f>
        <v>1228.2356372631843</v>
      </c>
      <c r="BS191" s="213">
        <f t="shared" ref="BS191:BX191" si="418">+BS190/(32.15074)/(BS202)</f>
        <v>1317.3401860420854</v>
      </c>
      <c r="BT191" s="214">
        <f t="shared" si="418"/>
        <v>1299.92241814319</v>
      </c>
      <c r="BU191" s="214">
        <f t="shared" si="418"/>
        <v>1449.4668394208825</v>
      </c>
      <c r="BV191" s="259">
        <f t="shared" si="418"/>
        <v>1458.4110525983972</v>
      </c>
      <c r="BW191" s="214">
        <f t="shared" si="418"/>
        <v>1531.7798083747648</v>
      </c>
      <c r="BX191" s="214">
        <f t="shared" si="418"/>
        <v>1689.088948186818</v>
      </c>
      <c r="BY191" s="214">
        <f t="shared" ref="BY191:BZ191" si="419">+BY190/(32.15074)/(BY202)</f>
        <v>1886.7159516507402</v>
      </c>
      <c r="BZ191" s="214">
        <f t="shared" si="419"/>
        <v>1868.4725098989447</v>
      </c>
      <c r="CA191" s="213">
        <f t="shared" ref="CA191:CB191" si="420">+CA190/(32.15074)/(CA202)</f>
        <v>1809.9191695653421</v>
      </c>
      <c r="CB191" s="214">
        <f t="shared" si="420"/>
        <v>1796.7929707885537</v>
      </c>
      <c r="CC191" s="214">
        <f t="shared" ref="CC191:CF191" si="421">+CC190/(32.15074)/(CC202)</f>
        <v>1791.0886561433788</v>
      </c>
      <c r="CD191" s="259">
        <f t="shared" si="421"/>
        <v>1774.4295089283567</v>
      </c>
      <c r="CE191" s="213">
        <f t="shared" si="421"/>
        <v>1865.8881452026537</v>
      </c>
      <c r="CF191" s="214">
        <f t="shared" si="421"/>
        <v>1857.0674780666168</v>
      </c>
      <c r="CG191" s="214">
        <f t="shared" ref="CG191:CJ191" si="422">+CG190/(32.15074)/(CG202)</f>
        <v>1724.533991698785</v>
      </c>
      <c r="CH191" s="259">
        <f t="shared" si="422"/>
        <v>1700.3802654624321</v>
      </c>
      <c r="CI191" s="213">
        <f t="shared" si="422"/>
        <v>1859.7098324112385</v>
      </c>
      <c r="CJ191" s="214">
        <f t="shared" si="422"/>
        <v>1969.917269822045</v>
      </c>
      <c r="CK191" s="214">
        <f t="shared" ref="CK191:CP191" si="423">+CK190/(32.15074)/(CK202)</f>
        <v>1929.275944311177</v>
      </c>
      <c r="CL191" s="259">
        <f t="shared" si="423"/>
        <v>1982.2041346081969</v>
      </c>
      <c r="CM191" s="213">
        <f t="shared" si="423"/>
        <v>2064.166332704423</v>
      </c>
      <c r="CN191" s="214">
        <f t="shared" si="423"/>
        <v>2330.3392852459565</v>
      </c>
      <c r="CO191" s="214">
        <f t="shared" si="423"/>
        <v>2478.0054974692966</v>
      </c>
      <c r="CP191" s="259">
        <f t="shared" si="423"/>
        <v>2653.6942123942531</v>
      </c>
      <c r="CQ191" s="213">
        <f t="shared" ref="CQ191:CT191" si="424">+CQ190/(32.15074)/(CQ202)</f>
        <v>2802.9910331997316</v>
      </c>
      <c r="CR191" s="214">
        <f t="shared" si="424"/>
        <v>3272.9622230497525</v>
      </c>
      <c r="CS191" s="214">
        <f t="shared" si="424"/>
        <v>3364.9543050970738</v>
      </c>
      <c r="CT191" s="259">
        <f t="shared" si="424"/>
        <v>4112.3403901266156</v>
      </c>
      <c r="CU191" s="213">
        <f t="shared" ref="CU191:CX191" si="425">+CU190/(32.15074)/(CU202)</f>
        <v>4802.0561045481927</v>
      </c>
      <c r="CV191" s="214">
        <f t="shared" si="425"/>
        <v>4469.3440476518408</v>
      </c>
      <c r="CW191" s="214" t="e">
        <f t="shared" si="425"/>
        <v>#DIV/0!</v>
      </c>
      <c r="CX191" s="259" t="e">
        <f t="shared" si="425"/>
        <v>#DIV/0!</v>
      </c>
    </row>
    <row r="192" spans="1:247" x14ac:dyDescent="0.25">
      <c r="A192" s="225"/>
      <c r="B192" s="227" t="s">
        <v>138</v>
      </c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10"/>
      <c r="AZ192" s="8"/>
      <c r="BA192" s="8"/>
      <c r="BB192" s="9"/>
      <c r="BC192" s="34"/>
      <c r="BD192" s="32"/>
      <c r="BE192" s="32"/>
      <c r="BF192" s="33"/>
      <c r="BG192" s="34"/>
      <c r="BH192" s="32"/>
      <c r="BI192" s="32"/>
      <c r="BJ192" s="32"/>
      <c r="BK192" s="213"/>
      <c r="BL192" s="214"/>
      <c r="BM192" s="214"/>
      <c r="BN192" s="259"/>
      <c r="BO192" s="213">
        <f>(-BO181/BO168)*1000000</f>
        <v>510833.33333333337</v>
      </c>
      <c r="BP192" s="214">
        <f>(-BP181/BP168)*1000000</f>
        <v>469435.21594684391</v>
      </c>
      <c r="BQ192" s="214">
        <f>(-BQ181/BQ168)*1000000</f>
        <v>426771.6535433071</v>
      </c>
      <c r="BR192" s="214">
        <f>(-BR181/BR168)*1000000</f>
        <v>565677.96610169497</v>
      </c>
      <c r="BS192" s="213">
        <f>+(145-2.8)/BS168*1000000</f>
        <v>432218.84498480242</v>
      </c>
      <c r="BT192" s="214">
        <f>+(135.2+14.2)/BT168*1000000</f>
        <v>481935.4838709677</v>
      </c>
      <c r="BU192" s="214">
        <v>519551</v>
      </c>
      <c r="BV192" s="259">
        <v>505000</v>
      </c>
      <c r="BW192" s="214">
        <v>568350</v>
      </c>
      <c r="BX192" s="214">
        <v>624229</v>
      </c>
      <c r="BY192" s="214">
        <v>594817</v>
      </c>
      <c r="BZ192" s="214">
        <v>626875</v>
      </c>
      <c r="CA192" s="213">
        <v>593929</v>
      </c>
      <c r="CB192" s="214">
        <v>701923</v>
      </c>
      <c r="CC192" s="214">
        <v>751724</v>
      </c>
      <c r="CD192" s="259">
        <v>725352</v>
      </c>
      <c r="CE192" s="213">
        <v>893083</v>
      </c>
      <c r="CF192" s="214">
        <v>923077</v>
      </c>
      <c r="CG192" s="214">
        <v>805643</v>
      </c>
      <c r="CH192" s="259">
        <v>818991</v>
      </c>
      <c r="CI192" s="213">
        <v>926923</v>
      </c>
      <c r="CJ192" s="214">
        <v>1074675</v>
      </c>
      <c r="CK192" s="214">
        <v>1102236</v>
      </c>
      <c r="CL192" s="259">
        <v>1131148</v>
      </c>
      <c r="CM192" s="213">
        <v>1298611</v>
      </c>
      <c r="CN192" s="214">
        <v>1271709</v>
      </c>
      <c r="CO192" s="214">
        <v>1298077</v>
      </c>
      <c r="CP192" s="259">
        <v>1411985</v>
      </c>
      <c r="CQ192" s="213">
        <v>1575472</v>
      </c>
      <c r="CR192" s="214">
        <v>1498127</v>
      </c>
      <c r="CS192" s="214">
        <v>2050691</v>
      </c>
      <c r="CT192" s="259">
        <v>2222222</v>
      </c>
      <c r="CU192" s="213">
        <v>2421053</v>
      </c>
      <c r="CV192" s="214">
        <v>1631579</v>
      </c>
      <c r="CW192" s="214"/>
      <c r="CX192" s="259"/>
    </row>
    <row r="193" spans="1:102" x14ac:dyDescent="0.25">
      <c r="A193" s="225"/>
      <c r="B193" s="227" t="s">
        <v>139</v>
      </c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10"/>
      <c r="AZ193" s="8"/>
      <c r="BA193" s="8"/>
      <c r="BB193" s="9"/>
      <c r="BC193" s="34"/>
      <c r="BD193" s="32"/>
      <c r="BE193" s="32"/>
      <c r="BF193" s="33"/>
      <c r="BG193" s="34"/>
      <c r="BH193" s="32"/>
      <c r="BI193" s="32"/>
      <c r="BJ193" s="32"/>
      <c r="BK193" s="213"/>
      <c r="BL193" s="214"/>
      <c r="BM193" s="214"/>
      <c r="BN193" s="259"/>
      <c r="BO193" s="213">
        <f t="shared" ref="BO193:BV193" si="426">+BO192/(32.15074)/(BO202)</f>
        <v>1328.4862858005417</v>
      </c>
      <c r="BP193" s="214">
        <f t="shared" si="426"/>
        <v>1154.2348088070339</v>
      </c>
      <c r="BQ193" s="214">
        <f t="shared" si="426"/>
        <v>944.77472860303146</v>
      </c>
      <c r="BR193" s="214">
        <f t="shared" si="426"/>
        <v>1229.5286575547855</v>
      </c>
      <c r="BS193" s="213">
        <f t="shared" si="426"/>
        <v>959.56542213514456</v>
      </c>
      <c r="BT193" s="214">
        <f t="shared" si="426"/>
        <v>1041.6867410851812</v>
      </c>
      <c r="BU193" s="214">
        <f t="shared" si="426"/>
        <v>1101.5573126441122</v>
      </c>
      <c r="BV193" s="259">
        <f t="shared" si="426"/>
        <v>1067.0692250751088</v>
      </c>
      <c r="BW193" s="214">
        <f t="shared" ref="BW193:BX193" si="427">+BW192/(32.15074)/(BW202)</f>
        <v>1149.3930202180495</v>
      </c>
      <c r="BX193" s="214">
        <f t="shared" si="427"/>
        <v>1081.6543836296994</v>
      </c>
      <c r="BY193" s="214">
        <f t="shared" ref="BY193:BZ193" si="428">+BY192/(32.15074)/(BY202)</f>
        <v>1094.0792749620407</v>
      </c>
      <c r="BZ193" s="214">
        <f t="shared" si="428"/>
        <v>1249.070852183238</v>
      </c>
      <c r="CA193" s="213">
        <f t="shared" ref="CA193:CB193" si="429">+CA192/(32.15074)/(CA202)</f>
        <v>1234.8436261074041</v>
      </c>
      <c r="CB193" s="214">
        <f t="shared" si="429"/>
        <v>1545.0990945769011</v>
      </c>
      <c r="CC193" s="214">
        <f t="shared" ref="CC193:CF193" si="430">+CC192/(32.15074)/(CC202)</f>
        <v>1598.170524330626</v>
      </c>
      <c r="CD193" s="259">
        <f t="shared" si="430"/>
        <v>1463.0981655773182</v>
      </c>
      <c r="CE193" s="213">
        <f t="shared" si="430"/>
        <v>1825.0980319459452</v>
      </c>
      <c r="CF193" s="214">
        <f t="shared" si="430"/>
        <v>1841.6234714533866</v>
      </c>
      <c r="CG193" s="214">
        <f t="shared" ref="CG193:CJ193" si="431">+CG192/(32.15074)/(CG202)</f>
        <v>1469.6952187198488</v>
      </c>
      <c r="CH193" s="259">
        <f t="shared" si="431"/>
        <v>1446.5345129086816</v>
      </c>
      <c r="CI193" s="213">
        <f t="shared" si="431"/>
        <v>1623.3408736582846</v>
      </c>
      <c r="CJ193" s="214">
        <f t="shared" si="431"/>
        <v>1791.3256033890211</v>
      </c>
      <c r="CK193" s="214">
        <f t="shared" ref="CK193:CP193" si="432">+CK192/(32.15074)/(CK202)</f>
        <v>1844.1839084704059</v>
      </c>
      <c r="CL193" s="259">
        <f t="shared" si="432"/>
        <v>1886.4687808810997</v>
      </c>
      <c r="CM193" s="213">
        <f t="shared" si="432"/>
        <v>2141.6397329248198</v>
      </c>
      <c r="CN193" s="214">
        <f t="shared" si="432"/>
        <v>2130.0258190164409</v>
      </c>
      <c r="CO193" s="214">
        <f t="shared" si="432"/>
        <v>2248.0354177593267</v>
      </c>
      <c r="CP193" s="259">
        <f t="shared" si="432"/>
        <v>2456.2445001196334</v>
      </c>
      <c r="CQ193" s="213">
        <f t="shared" ref="CQ193:CT193" si="433">+CQ192/(32.15074)/(CQ202)</f>
        <v>2651.6594595587489</v>
      </c>
      <c r="CR193" s="214">
        <f t="shared" si="433"/>
        <v>2547.6745712437482</v>
      </c>
      <c r="CS193" s="214">
        <f t="shared" si="433"/>
        <v>3615.8522094060213</v>
      </c>
      <c r="CT193" s="259">
        <f t="shared" si="433"/>
        <v>4039.6753093468724</v>
      </c>
      <c r="CU193" s="213">
        <f t="shared" ref="CU193:CX193" si="434">+CU192/(32.15074)/(CU202)</f>
        <v>4608.5178214228945</v>
      </c>
      <c r="CV193" s="214">
        <f t="shared" si="434"/>
        <v>3079.3561858012408</v>
      </c>
      <c r="CW193" s="214" t="e">
        <f t="shared" si="434"/>
        <v>#DIV/0!</v>
      </c>
      <c r="CX193" s="259" t="e">
        <f t="shared" si="434"/>
        <v>#DIV/0!</v>
      </c>
    </row>
    <row r="194" spans="1:102" ht="15" hidden="1" customHeight="1" x14ac:dyDescent="0.25">
      <c r="A194" s="225"/>
      <c r="B194" s="227" t="s">
        <v>74</v>
      </c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10"/>
      <c r="AZ194" s="8">
        <v>377138</v>
      </c>
      <c r="BA194" s="8">
        <v>439030</v>
      </c>
      <c r="BB194" s="9">
        <v>363318</v>
      </c>
      <c r="BC194" s="34">
        <v>485109</v>
      </c>
      <c r="BD194" s="32">
        <v>484652</v>
      </c>
      <c r="BE194" s="32">
        <v>446028</v>
      </c>
      <c r="BF194" s="33">
        <v>489393</v>
      </c>
      <c r="BG194" s="34">
        <v>481120</v>
      </c>
      <c r="BH194" s="32">
        <v>529030</v>
      </c>
      <c r="BI194" s="32">
        <v>611573</v>
      </c>
      <c r="BJ194" s="32">
        <v>491538</v>
      </c>
      <c r="BK194" s="213">
        <v>594690</v>
      </c>
      <c r="BL194" s="214">
        <v>628967</v>
      </c>
      <c r="BM194" s="214">
        <v>623678</v>
      </c>
      <c r="BN194" s="215" t="s">
        <v>77</v>
      </c>
      <c r="BO194" s="216" t="s">
        <v>77</v>
      </c>
      <c r="BP194" s="217" t="s">
        <v>77</v>
      </c>
      <c r="BQ194" s="217" t="s">
        <v>77</v>
      </c>
      <c r="BR194" s="217" t="s">
        <v>77</v>
      </c>
      <c r="BS194" s="216" t="s">
        <v>77</v>
      </c>
      <c r="BT194" s="217" t="s">
        <v>77</v>
      </c>
      <c r="BU194" s="217" t="s">
        <v>77</v>
      </c>
      <c r="BV194" s="215" t="s">
        <v>77</v>
      </c>
      <c r="BW194" s="217" t="s">
        <v>77</v>
      </c>
      <c r="BX194" s="217" t="s">
        <v>77</v>
      </c>
      <c r="BY194" s="217" t="s">
        <v>77</v>
      </c>
      <c r="BZ194" s="217" t="s">
        <v>77</v>
      </c>
      <c r="CA194" s="216" t="s">
        <v>77</v>
      </c>
      <c r="CB194" s="217" t="s">
        <v>77</v>
      </c>
      <c r="CC194" s="217" t="s">
        <v>77</v>
      </c>
      <c r="CD194" s="215" t="s">
        <v>77</v>
      </c>
      <c r="CE194" s="216" t="s">
        <v>77</v>
      </c>
      <c r="CF194" s="217" t="s">
        <v>77</v>
      </c>
      <c r="CG194" s="217" t="s">
        <v>77</v>
      </c>
      <c r="CH194" s="215" t="s">
        <v>77</v>
      </c>
      <c r="CI194" s="216" t="s">
        <v>77</v>
      </c>
      <c r="CJ194" s="217" t="s">
        <v>77</v>
      </c>
      <c r="CK194" s="217" t="s">
        <v>77</v>
      </c>
      <c r="CL194" s="215" t="s">
        <v>77</v>
      </c>
      <c r="CM194" s="216"/>
      <c r="CN194" s="217"/>
      <c r="CO194" s="217"/>
      <c r="CP194" s="215"/>
      <c r="CQ194" s="216"/>
      <c r="CR194" s="217"/>
      <c r="CS194" s="217"/>
      <c r="CT194" s="215"/>
      <c r="CU194" s="216"/>
      <c r="CV194" s="217"/>
      <c r="CW194" s="217"/>
      <c r="CX194" s="215"/>
    </row>
    <row r="195" spans="1:102" ht="15" hidden="1" customHeight="1" x14ac:dyDescent="0.25">
      <c r="A195" s="225"/>
      <c r="B195" s="227" t="s">
        <v>75</v>
      </c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10"/>
      <c r="AZ195" s="8">
        <v>1098</v>
      </c>
      <c r="BA195" s="8">
        <f>+BA194/(32.15074)/($BA$202)</f>
        <v>1273.8211016224236</v>
      </c>
      <c r="BB195" s="9">
        <f t="shared" ref="BB195:BH195" si="435">+BB194/(32.15074)/(BB202)</f>
        <v>1008.9692225702161</v>
      </c>
      <c r="BC195" s="34">
        <f t="shared" si="435"/>
        <v>1289.6221888612113</v>
      </c>
      <c r="BD195" s="32">
        <f t="shared" si="435"/>
        <v>1248.9117910417967</v>
      </c>
      <c r="BE195" s="32">
        <f t="shared" si="435"/>
        <v>1067.1557218852865</v>
      </c>
      <c r="BF195" s="33">
        <f t="shared" si="435"/>
        <v>1071.2052731534659</v>
      </c>
      <c r="BG195" s="34">
        <f t="shared" si="435"/>
        <v>947.7205709545417</v>
      </c>
      <c r="BH195" s="32">
        <f t="shared" si="435"/>
        <v>1099.1767330201865</v>
      </c>
      <c r="BI195" s="32">
        <f>+BI194/(32.15074)/(BI202)</f>
        <v>1352.9196659564486</v>
      </c>
      <c r="BJ195" s="32">
        <f>+BJ194/(32.15074)/(BJ202)</f>
        <v>1101.4801082764775</v>
      </c>
      <c r="BK195" s="213">
        <f>+BK194/(32.15074)/(BK202)</f>
        <v>1400.2218317371282</v>
      </c>
      <c r="BL195" s="214">
        <f>+BL194/(32.15074)/(BL202)</f>
        <v>1482.050340101508</v>
      </c>
      <c r="BM195" s="214">
        <f>+BM194/(32.15074)/(BM202)</f>
        <v>1471.8177668387621</v>
      </c>
      <c r="BN195" s="215" t="s">
        <v>77</v>
      </c>
      <c r="BO195" s="216" t="s">
        <v>77</v>
      </c>
      <c r="BP195" s="217" t="s">
        <v>77</v>
      </c>
      <c r="BQ195" s="217" t="s">
        <v>77</v>
      </c>
      <c r="BR195" s="217" t="s">
        <v>77</v>
      </c>
      <c r="BS195" s="216" t="s">
        <v>77</v>
      </c>
      <c r="BT195" s="217" t="s">
        <v>77</v>
      </c>
      <c r="BU195" s="217" t="s">
        <v>77</v>
      </c>
      <c r="BV195" s="215" t="s">
        <v>77</v>
      </c>
      <c r="BW195" s="217" t="s">
        <v>77</v>
      </c>
      <c r="BX195" s="217" t="s">
        <v>77</v>
      </c>
      <c r="BY195" s="217" t="s">
        <v>77</v>
      </c>
      <c r="BZ195" s="217" t="s">
        <v>77</v>
      </c>
      <c r="CA195" s="216" t="s">
        <v>77</v>
      </c>
      <c r="CB195" s="217" t="s">
        <v>77</v>
      </c>
      <c r="CC195" s="217" t="s">
        <v>77</v>
      </c>
      <c r="CD195" s="215" t="s">
        <v>77</v>
      </c>
      <c r="CE195" s="216" t="s">
        <v>77</v>
      </c>
      <c r="CF195" s="217" t="s">
        <v>77</v>
      </c>
      <c r="CG195" s="217" t="s">
        <v>77</v>
      </c>
      <c r="CH195" s="215" t="s">
        <v>77</v>
      </c>
      <c r="CI195" s="216" t="s">
        <v>77</v>
      </c>
      <c r="CJ195" s="217" t="s">
        <v>77</v>
      </c>
      <c r="CK195" s="217" t="s">
        <v>77</v>
      </c>
      <c r="CL195" s="215" t="s">
        <v>77</v>
      </c>
      <c r="CM195" s="216"/>
      <c r="CN195" s="217"/>
      <c r="CO195" s="217"/>
      <c r="CP195" s="215"/>
      <c r="CQ195" s="216"/>
      <c r="CR195" s="217"/>
      <c r="CS195" s="217"/>
      <c r="CT195" s="215"/>
      <c r="CU195" s="216"/>
      <c r="CV195" s="217"/>
      <c r="CW195" s="217"/>
      <c r="CX195" s="215"/>
    </row>
    <row r="196" spans="1:102" ht="15" hidden="1" customHeight="1" x14ac:dyDescent="0.25">
      <c r="A196" s="225"/>
      <c r="B196" s="227" t="s">
        <v>76</v>
      </c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19"/>
      <c r="AZ196" s="20" t="s">
        <v>77</v>
      </c>
      <c r="BA196" s="20" t="s">
        <v>77</v>
      </c>
      <c r="BB196" s="21" t="s">
        <v>77</v>
      </c>
      <c r="BC196" s="40" t="s">
        <v>77</v>
      </c>
      <c r="BD196" s="41" t="s">
        <v>77</v>
      </c>
      <c r="BE196" s="41" t="s">
        <v>77</v>
      </c>
      <c r="BF196" s="42" t="s">
        <v>77</v>
      </c>
      <c r="BG196" s="40" t="s">
        <v>77</v>
      </c>
      <c r="BH196" s="41" t="s">
        <v>77</v>
      </c>
      <c r="BI196" s="41" t="s">
        <v>77</v>
      </c>
      <c r="BJ196" s="41" t="s">
        <v>77</v>
      </c>
      <c r="BK196" s="216" t="s">
        <v>77</v>
      </c>
      <c r="BL196" s="217" t="s">
        <v>77</v>
      </c>
      <c r="BM196" s="217" t="s">
        <v>77</v>
      </c>
      <c r="BN196" s="217" t="s">
        <v>77</v>
      </c>
      <c r="BO196" s="216" t="s">
        <v>77</v>
      </c>
      <c r="BP196" s="217" t="s">
        <v>77</v>
      </c>
      <c r="BQ196" s="217" t="s">
        <v>77</v>
      </c>
      <c r="BR196" s="217" t="s">
        <v>77</v>
      </c>
      <c r="BS196" s="216" t="s">
        <v>77</v>
      </c>
      <c r="BT196" s="217" t="s">
        <v>77</v>
      </c>
      <c r="BU196" s="217" t="s">
        <v>77</v>
      </c>
      <c r="BV196" s="215" t="s">
        <v>77</v>
      </c>
      <c r="BW196" s="217" t="s">
        <v>77</v>
      </c>
      <c r="BX196" s="217" t="s">
        <v>77</v>
      </c>
      <c r="BY196" s="217" t="s">
        <v>77</v>
      </c>
      <c r="BZ196" s="217" t="s">
        <v>77</v>
      </c>
      <c r="CA196" s="216" t="s">
        <v>77</v>
      </c>
      <c r="CB196" s="217" t="s">
        <v>77</v>
      </c>
      <c r="CC196" s="217" t="s">
        <v>77</v>
      </c>
      <c r="CD196" s="215" t="s">
        <v>77</v>
      </c>
      <c r="CE196" s="216" t="s">
        <v>77</v>
      </c>
      <c r="CF196" s="217" t="s">
        <v>77</v>
      </c>
      <c r="CG196" s="217" t="s">
        <v>77</v>
      </c>
      <c r="CH196" s="215" t="s">
        <v>77</v>
      </c>
      <c r="CI196" s="216" t="s">
        <v>77</v>
      </c>
      <c r="CJ196" s="217" t="s">
        <v>77</v>
      </c>
      <c r="CK196" s="217" t="s">
        <v>77</v>
      </c>
      <c r="CL196" s="215" t="s">
        <v>77</v>
      </c>
      <c r="CM196" s="216"/>
      <c r="CN196" s="217"/>
      <c r="CO196" s="217"/>
      <c r="CP196" s="215"/>
      <c r="CQ196" s="216"/>
      <c r="CR196" s="217"/>
      <c r="CS196" s="217"/>
      <c r="CT196" s="215"/>
      <c r="CU196" s="216"/>
      <c r="CV196" s="217"/>
      <c r="CW196" s="217"/>
      <c r="CX196" s="215"/>
    </row>
    <row r="197" spans="1:102" ht="15" hidden="1" customHeight="1" x14ac:dyDescent="0.25">
      <c r="A197" s="225"/>
      <c r="B197" s="227" t="s">
        <v>78</v>
      </c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19"/>
      <c r="AZ197" s="20" t="s">
        <v>77</v>
      </c>
      <c r="BA197" s="20" t="s">
        <v>77</v>
      </c>
      <c r="BB197" s="21" t="s">
        <v>77</v>
      </c>
      <c r="BC197" s="40" t="s">
        <v>77</v>
      </c>
      <c r="BD197" s="41" t="s">
        <v>77</v>
      </c>
      <c r="BE197" s="41" t="s">
        <v>77</v>
      </c>
      <c r="BF197" s="42" t="s">
        <v>77</v>
      </c>
      <c r="BG197" s="40" t="s">
        <v>77</v>
      </c>
      <c r="BH197" s="41" t="s">
        <v>77</v>
      </c>
      <c r="BI197" s="41" t="s">
        <v>77</v>
      </c>
      <c r="BJ197" s="41" t="s">
        <v>77</v>
      </c>
      <c r="BK197" s="216" t="s">
        <v>77</v>
      </c>
      <c r="BL197" s="217" t="s">
        <v>77</v>
      </c>
      <c r="BM197" s="217" t="s">
        <v>77</v>
      </c>
      <c r="BN197" s="217" t="s">
        <v>77</v>
      </c>
      <c r="BO197" s="216" t="s">
        <v>77</v>
      </c>
      <c r="BP197" s="217" t="s">
        <v>77</v>
      </c>
      <c r="BQ197" s="217" t="s">
        <v>77</v>
      </c>
      <c r="BR197" s="217" t="s">
        <v>77</v>
      </c>
      <c r="BS197" s="216" t="s">
        <v>77</v>
      </c>
      <c r="BT197" s="217" t="s">
        <v>77</v>
      </c>
      <c r="BU197" s="217" t="s">
        <v>77</v>
      </c>
      <c r="BV197" s="215" t="s">
        <v>77</v>
      </c>
      <c r="BW197" s="217" t="s">
        <v>77</v>
      </c>
      <c r="BX197" s="217" t="s">
        <v>77</v>
      </c>
      <c r="BY197" s="217" t="s">
        <v>77</v>
      </c>
      <c r="BZ197" s="217" t="s">
        <v>77</v>
      </c>
      <c r="CA197" s="216" t="s">
        <v>77</v>
      </c>
      <c r="CB197" s="217" t="s">
        <v>77</v>
      </c>
      <c r="CC197" s="217" t="s">
        <v>77</v>
      </c>
      <c r="CD197" s="215" t="s">
        <v>77</v>
      </c>
      <c r="CE197" s="216" t="s">
        <v>77</v>
      </c>
      <c r="CF197" s="217" t="s">
        <v>77</v>
      </c>
      <c r="CG197" s="217" t="s">
        <v>77</v>
      </c>
      <c r="CH197" s="215" t="s">
        <v>77</v>
      </c>
      <c r="CI197" s="216" t="s">
        <v>77</v>
      </c>
      <c r="CJ197" s="217" t="s">
        <v>77</v>
      </c>
      <c r="CK197" s="217" t="s">
        <v>77</v>
      </c>
      <c r="CL197" s="215" t="s">
        <v>77</v>
      </c>
      <c r="CM197" s="216"/>
      <c r="CN197" s="217"/>
      <c r="CO197" s="217"/>
      <c r="CP197" s="215"/>
      <c r="CQ197" s="216"/>
      <c r="CR197" s="217"/>
      <c r="CS197" s="217"/>
      <c r="CT197" s="215"/>
      <c r="CU197" s="216"/>
      <c r="CV197" s="217"/>
      <c r="CW197" s="217"/>
      <c r="CX197" s="215"/>
    </row>
    <row r="198" spans="1:102" x14ac:dyDescent="0.25">
      <c r="A198" s="225"/>
      <c r="B198" s="227" t="s">
        <v>79</v>
      </c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71"/>
      <c r="AA198" s="172"/>
      <c r="AB198" s="172"/>
      <c r="AC198" s="172"/>
      <c r="AD198" s="172"/>
      <c r="AE198" s="172"/>
      <c r="AF198" s="172"/>
      <c r="AG198" s="172"/>
      <c r="AH198" s="172"/>
      <c r="AI198" s="172"/>
      <c r="AJ198" s="172"/>
      <c r="AK198" s="172"/>
      <c r="AL198" s="172"/>
      <c r="AM198" s="925"/>
      <c r="AN198" s="925"/>
      <c r="AO198" s="925"/>
      <c r="AP198" s="925"/>
      <c r="AQ198" s="925"/>
      <c r="AR198" s="925"/>
      <c r="AS198" s="925"/>
      <c r="AT198" s="925"/>
      <c r="AU198" s="8"/>
      <c r="AV198" s="8"/>
      <c r="AW198" s="8"/>
      <c r="AX198" s="8"/>
      <c r="AY198" s="10"/>
      <c r="AZ198" s="8">
        <v>429549</v>
      </c>
      <c r="BA198" s="8">
        <v>497575</v>
      </c>
      <c r="BB198" s="9">
        <v>412227</v>
      </c>
      <c r="BC198" s="34">
        <v>564964</v>
      </c>
      <c r="BD198" s="32">
        <v>563218</v>
      </c>
      <c r="BE198" s="32">
        <v>501741</v>
      </c>
      <c r="BF198" s="33">
        <v>548498</v>
      </c>
      <c r="BG198" s="34">
        <v>535156</v>
      </c>
      <c r="BH198" s="32">
        <v>585390</v>
      </c>
      <c r="BI198" s="32">
        <v>676632</v>
      </c>
      <c r="BJ198" s="32">
        <v>562308</v>
      </c>
      <c r="BK198" s="213">
        <v>666150</v>
      </c>
      <c r="BL198" s="214">
        <v>693073</v>
      </c>
      <c r="BM198" s="214">
        <v>646035</v>
      </c>
      <c r="BN198" s="259">
        <v>704102</v>
      </c>
      <c r="BO198" s="213">
        <v>560417</v>
      </c>
      <c r="BP198" s="214">
        <v>496678</v>
      </c>
      <c r="BQ198" s="214">
        <v>484777</v>
      </c>
      <c r="BR198" s="214">
        <v>406132</v>
      </c>
      <c r="BS198" s="213">
        <v>444669</v>
      </c>
      <c r="BT198" s="214">
        <v>533803</v>
      </c>
      <c r="BU198" s="214">
        <v>565056</v>
      </c>
      <c r="BV198" s="259">
        <v>547423</v>
      </c>
      <c r="BW198" s="214">
        <v>634459</v>
      </c>
      <c r="BX198" s="214">
        <v>678261</v>
      </c>
      <c r="BY198" s="214">
        <v>648503</v>
      </c>
      <c r="BZ198" s="214">
        <v>693208</v>
      </c>
      <c r="CA198" s="213">
        <v>658596</v>
      </c>
      <c r="CB198" s="214">
        <v>713855</v>
      </c>
      <c r="CC198" s="214">
        <v>787671</v>
      </c>
      <c r="CD198" s="259">
        <v>819549</v>
      </c>
      <c r="CE198" s="213">
        <v>908213</v>
      </c>
      <c r="CF198" s="214">
        <v>1056604</v>
      </c>
      <c r="CG198" s="214">
        <v>861736</v>
      </c>
      <c r="CH198" s="259">
        <v>871186</v>
      </c>
      <c r="CI198" s="213">
        <v>983713</v>
      </c>
      <c r="CJ198" s="214">
        <v>1120130</v>
      </c>
      <c r="CK198" s="214">
        <v>1169381</v>
      </c>
      <c r="CL198" s="259">
        <v>1188552</v>
      </c>
      <c r="CM198" s="213">
        <v>1356209</v>
      </c>
      <c r="CN198" s="214">
        <v>1368116</v>
      </c>
      <c r="CO198" s="214">
        <v>1369775</v>
      </c>
      <c r="CP198" s="259">
        <v>1478431</v>
      </c>
      <c r="CQ198" s="213">
        <v>1600000</v>
      </c>
      <c r="CR198" s="214">
        <v>1773869</v>
      </c>
      <c r="CS198" s="214">
        <v>1988550</v>
      </c>
      <c r="CT198" s="259">
        <v>2378049</v>
      </c>
      <c r="CU198" s="213">
        <v>2486364</v>
      </c>
      <c r="CV198" s="214">
        <v>1940972</v>
      </c>
      <c r="CW198" s="214"/>
      <c r="CX198" s="259"/>
    </row>
    <row r="199" spans="1:102" x14ac:dyDescent="0.25">
      <c r="A199" s="225"/>
      <c r="B199" s="227" t="s">
        <v>80</v>
      </c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71"/>
      <c r="AA199" s="172"/>
      <c r="AB199" s="172"/>
      <c r="AC199" s="172"/>
      <c r="AD199" s="172"/>
      <c r="AE199" s="172"/>
      <c r="AF199" s="172"/>
      <c r="AG199" s="172"/>
      <c r="AH199" s="172"/>
      <c r="AI199" s="172"/>
      <c r="AJ199" s="172"/>
      <c r="AK199" s="172"/>
      <c r="AL199" s="172"/>
      <c r="AM199" s="925"/>
      <c r="AN199" s="925"/>
      <c r="AO199" s="925"/>
      <c r="AP199" s="925"/>
      <c r="AQ199" s="925"/>
      <c r="AR199" s="925"/>
      <c r="AS199" s="925"/>
      <c r="AT199" s="925"/>
      <c r="AU199" s="8"/>
      <c r="AV199" s="8"/>
      <c r="AW199" s="8"/>
      <c r="AX199" s="8"/>
      <c r="AY199" s="10"/>
      <c r="AZ199" s="8">
        <v>1251</v>
      </c>
      <c r="BA199" s="8">
        <f t="shared" ref="BA199:BH199" si="436">+BA198/(32.15074)/(BA202)</f>
        <v>1443.6861595785651</v>
      </c>
      <c r="BB199" s="9">
        <f t="shared" si="436"/>
        <v>1144.7942455712418</v>
      </c>
      <c r="BC199" s="34">
        <f t="shared" si="436"/>
        <v>1501.9101074352059</v>
      </c>
      <c r="BD199" s="32">
        <f t="shared" si="436"/>
        <v>1451.3704702074451</v>
      </c>
      <c r="BE199" s="32">
        <f t="shared" si="436"/>
        <v>1200.4532878080424</v>
      </c>
      <c r="BF199" s="33">
        <f t="shared" si="436"/>
        <v>1200.5769390124701</v>
      </c>
      <c r="BG199" s="34">
        <f t="shared" si="436"/>
        <v>1054.1618512424109</v>
      </c>
      <c r="BH199" s="32">
        <f t="shared" si="436"/>
        <v>1216.2770877694779</v>
      </c>
      <c r="BI199" s="32">
        <f>+BI198/(32.15074)/(BI202)</f>
        <v>1496.8429597373392</v>
      </c>
      <c r="BJ199" s="32">
        <f>+BJ198/(32.15074)/(BJ202)</f>
        <v>1260.0675364361036</v>
      </c>
      <c r="BK199" s="213">
        <f>+BK198/(32.15074)/(BK202)</f>
        <v>1568.477312905359</v>
      </c>
      <c r="BL199" s="214">
        <f>+BL198/(32.15074)/(BL202)</f>
        <v>1633.1048773070329</v>
      </c>
      <c r="BM199" s="214">
        <f>+BM198/(32.15074)/(BM202)</f>
        <v>1524.5780530973991</v>
      </c>
      <c r="BN199" s="259">
        <f>+BN198/(32.15074)/(BN202)-1</f>
        <v>1605.7516284787694</v>
      </c>
      <c r="BO199" s="213">
        <f t="shared" ref="BO199:BV199" si="437">+BO198/(32.15074)/(BO202)</f>
        <v>1457.4348427330808</v>
      </c>
      <c r="BP199" s="214">
        <f t="shared" si="437"/>
        <v>1221.2186408136349</v>
      </c>
      <c r="BQ199" s="214">
        <f t="shared" si="437"/>
        <v>1073.1852849301652</v>
      </c>
      <c r="BR199" s="214">
        <f t="shared" si="437"/>
        <v>882.74771632216823</v>
      </c>
      <c r="BS199" s="213">
        <f t="shared" si="437"/>
        <v>987.20590655970989</v>
      </c>
      <c r="BT199" s="214">
        <f t="shared" si="437"/>
        <v>1153.7965683397781</v>
      </c>
      <c r="BU199" s="214">
        <f t="shared" si="437"/>
        <v>1198.0374763082575</v>
      </c>
      <c r="BV199" s="259">
        <f t="shared" si="437"/>
        <v>1156.7093790065173</v>
      </c>
      <c r="BW199" s="214">
        <f t="shared" ref="BW199:BX199" si="438">+BW198/(32.15074)/(BW202)</f>
        <v>1283.0874394554826</v>
      </c>
      <c r="BX199" s="214">
        <f t="shared" si="438"/>
        <v>1175.2801998866819</v>
      </c>
      <c r="BY199" s="214">
        <f t="shared" ref="BY199:BZ199" si="439">+BY198/(32.15074)/(BY202)</f>
        <v>1192.8268560762526</v>
      </c>
      <c r="BZ199" s="214">
        <f t="shared" si="439"/>
        <v>1381.2417265008785</v>
      </c>
      <c r="CA199" s="213">
        <f t="shared" ref="CA199:CB199" si="440">+CA198/(32.15074)/(CA202)</f>
        <v>1369.2934219070494</v>
      </c>
      <c r="CB199" s="214">
        <f t="shared" si="440"/>
        <v>1571.3642581297288</v>
      </c>
      <c r="CC199" s="214">
        <f t="shared" ref="CC199:CF199" si="441">+CC198/(32.15074)/(CC202)</f>
        <v>1674.5940997893224</v>
      </c>
      <c r="CD199" s="259">
        <f t="shared" si="441"/>
        <v>1653.1017195799081</v>
      </c>
      <c r="CE199" s="213">
        <f t="shared" si="441"/>
        <v>1856.0175917442418</v>
      </c>
      <c r="CF199" s="214">
        <f t="shared" si="441"/>
        <v>2108.0221112989861</v>
      </c>
      <c r="CG199" s="214">
        <f t="shared" ref="CG199:CJ199" si="442">+CG198/(32.15074)/(CG202)</f>
        <v>1572.0229419218779</v>
      </c>
      <c r="CH199" s="259">
        <f t="shared" si="442"/>
        <v>1538.723400089699</v>
      </c>
      <c r="CI199" s="213">
        <f t="shared" si="442"/>
        <v>1722.7984642187239</v>
      </c>
      <c r="CJ199" s="214">
        <f t="shared" si="442"/>
        <v>1867.0924215452526</v>
      </c>
      <c r="CK199" s="214">
        <f t="shared" ref="CK199:CP199" si="443">+CK198/(32.15074)/(CK202)</f>
        <v>1956.5262095150511</v>
      </c>
      <c r="CL199" s="259">
        <f t="shared" si="443"/>
        <v>1982.2041346081969</v>
      </c>
      <c r="CM199" s="213">
        <f t="shared" si="443"/>
        <v>2236.6290448411701</v>
      </c>
      <c r="CN199" s="214">
        <f t="shared" si="443"/>
        <v>2291.5009671312364</v>
      </c>
      <c r="CO199" s="214">
        <f t="shared" si="443"/>
        <v>2372.2034319699692</v>
      </c>
      <c r="CP199" s="259">
        <f t="shared" si="443"/>
        <v>2571.8318626305299</v>
      </c>
      <c r="CQ199" s="213">
        <f t="shared" ref="CQ199:CT199" si="444">+CQ198/(32.15074)/(CQ202)</f>
        <v>2692.9422644731221</v>
      </c>
      <c r="CR199" s="214">
        <f t="shared" si="444"/>
        <v>3016.5940164068711</v>
      </c>
      <c r="CS199" s="214">
        <f t="shared" si="444"/>
        <v>3506.2829607260887</v>
      </c>
      <c r="CT199" s="259">
        <f t="shared" si="444"/>
        <v>4322.9460556672657</v>
      </c>
      <c r="CU199" s="213">
        <f t="shared" ref="CU199:CX199" si="445">+CU198/(32.15074)/(CU202)</f>
        <v>4732.8384816624475</v>
      </c>
      <c r="CV199" s="214">
        <f t="shared" si="445"/>
        <v>3663.2882224317705</v>
      </c>
      <c r="CW199" s="214" t="e">
        <f t="shared" si="445"/>
        <v>#DIV/0!</v>
      </c>
      <c r="CX199" s="259" t="e">
        <f t="shared" si="445"/>
        <v>#DIV/0!</v>
      </c>
    </row>
    <row r="200" spans="1:102" x14ac:dyDescent="0.25">
      <c r="A200" s="225"/>
      <c r="B200" s="227" t="s">
        <v>81</v>
      </c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171"/>
      <c r="AA200" s="172"/>
      <c r="AB200" s="172"/>
      <c r="AC200" s="172"/>
      <c r="AD200" s="172"/>
      <c r="AE200" s="172"/>
      <c r="AF200" s="172"/>
      <c r="AG200" s="172"/>
      <c r="AH200" s="172"/>
      <c r="AI200" s="172"/>
      <c r="AJ200" s="172"/>
      <c r="AK200" s="172"/>
      <c r="AL200" s="172"/>
      <c r="AM200" s="925"/>
      <c r="AN200" s="925"/>
      <c r="AO200" s="925"/>
      <c r="AP200" s="925"/>
      <c r="AQ200" s="925"/>
      <c r="AR200" s="925"/>
      <c r="AS200" s="925"/>
      <c r="AT200" s="925"/>
      <c r="AU200" s="8"/>
      <c r="AV200" s="8"/>
      <c r="AW200" s="8"/>
      <c r="AX200" s="8"/>
      <c r="AY200" s="10"/>
      <c r="AZ200" s="8">
        <v>429549</v>
      </c>
      <c r="BA200" s="8">
        <f>+BA198</f>
        <v>497575</v>
      </c>
      <c r="BB200" s="9">
        <v>439371</v>
      </c>
      <c r="BC200" s="34">
        <v>564964</v>
      </c>
      <c r="BD200" s="32">
        <v>565720</v>
      </c>
      <c r="BE200" s="32">
        <v>502992</v>
      </c>
      <c r="BF200" s="33">
        <v>555911</v>
      </c>
      <c r="BG200" s="34">
        <v>536979</v>
      </c>
      <c r="BH200" s="32">
        <v>586461</v>
      </c>
      <c r="BI200" s="32">
        <v>690134</v>
      </c>
      <c r="BJ200" s="32">
        <v>577692</v>
      </c>
      <c r="BK200" s="213">
        <v>673783</v>
      </c>
      <c r="BL200" s="214">
        <v>699118</v>
      </c>
      <c r="BM200" s="214">
        <v>646035</v>
      </c>
      <c r="BN200" s="259">
        <v>704102</v>
      </c>
      <c r="BO200" s="213">
        <v>560417</v>
      </c>
      <c r="BP200" s="214">
        <v>496678</v>
      </c>
      <c r="BQ200" s="214">
        <v>484777</v>
      </c>
      <c r="BR200" s="214">
        <v>406132</v>
      </c>
      <c r="BS200" s="213">
        <v>444669</v>
      </c>
      <c r="BT200" s="214">
        <v>533803</v>
      </c>
      <c r="BU200" s="214">
        <v>565056</v>
      </c>
      <c r="BV200" s="259">
        <v>547423</v>
      </c>
      <c r="BW200" s="214">
        <v>634459</v>
      </c>
      <c r="BX200" s="214">
        <v>678261</v>
      </c>
      <c r="BY200" s="214">
        <v>648503</v>
      </c>
      <c r="BZ200" s="214">
        <v>693208</v>
      </c>
      <c r="CA200" s="213">
        <v>658596</v>
      </c>
      <c r="CB200" s="214">
        <v>713855</v>
      </c>
      <c r="CC200" s="214">
        <v>787671</v>
      </c>
      <c r="CD200" s="259">
        <v>819549</v>
      </c>
      <c r="CE200" s="213">
        <v>908213</v>
      </c>
      <c r="CF200" s="214">
        <v>1056604</v>
      </c>
      <c r="CG200" s="214">
        <v>861736</v>
      </c>
      <c r="CH200" s="259">
        <v>871186</v>
      </c>
      <c r="CI200" s="213">
        <v>983713</v>
      </c>
      <c r="CJ200" s="214">
        <v>1120130</v>
      </c>
      <c r="CK200" s="214">
        <v>1169381</v>
      </c>
      <c r="CL200" s="259">
        <v>1188552</v>
      </c>
      <c r="CM200" s="213">
        <v>1356209</v>
      </c>
      <c r="CN200" s="214">
        <v>1368116</v>
      </c>
      <c r="CO200" s="214">
        <v>1369775</v>
      </c>
      <c r="CP200" s="259">
        <v>1478431</v>
      </c>
      <c r="CQ200" s="213">
        <v>1600000</v>
      </c>
      <c r="CR200" s="214">
        <v>1773869</v>
      </c>
      <c r="CS200" s="214">
        <v>1988550</v>
      </c>
      <c r="CT200" s="259">
        <v>2378049</v>
      </c>
      <c r="CU200" s="213">
        <v>2486364</v>
      </c>
      <c r="CV200" s="214">
        <v>1940972</v>
      </c>
      <c r="CW200" s="214"/>
      <c r="CX200" s="259"/>
    </row>
    <row r="201" spans="1:102" x14ac:dyDescent="0.25">
      <c r="A201" s="225"/>
      <c r="B201" s="227" t="s">
        <v>82</v>
      </c>
      <c r="C201" s="171"/>
      <c r="D201" s="171"/>
      <c r="E201" s="171"/>
      <c r="F201" s="171"/>
      <c r="G201" s="171"/>
      <c r="H201" s="171"/>
      <c r="I201" s="171"/>
      <c r="J201" s="171"/>
      <c r="K201" s="171"/>
      <c r="L201" s="171"/>
      <c r="M201" s="171"/>
      <c r="N201" s="171"/>
      <c r="O201" s="171"/>
      <c r="P201" s="171"/>
      <c r="Q201" s="171"/>
      <c r="R201" s="171"/>
      <c r="S201" s="171"/>
      <c r="T201" s="171"/>
      <c r="U201" s="171"/>
      <c r="V201" s="171"/>
      <c r="W201" s="171"/>
      <c r="X201" s="171"/>
      <c r="Y201" s="171"/>
      <c r="Z201" s="171"/>
      <c r="AA201" s="172"/>
      <c r="AB201" s="172"/>
      <c r="AC201" s="172"/>
      <c r="AD201" s="172"/>
      <c r="AE201" s="172"/>
      <c r="AF201" s="172"/>
      <c r="AG201" s="172"/>
      <c r="AH201" s="172"/>
      <c r="AI201" s="172"/>
      <c r="AJ201" s="172"/>
      <c r="AK201" s="172"/>
      <c r="AL201" s="172"/>
      <c r="AM201" s="925"/>
      <c r="AN201" s="925"/>
      <c r="AO201" s="925"/>
      <c r="AP201" s="925"/>
      <c r="AQ201" s="925"/>
      <c r="AR201" s="925"/>
      <c r="AS201" s="925"/>
      <c r="AT201" s="925"/>
      <c r="AU201" s="8"/>
      <c r="AV201" s="8"/>
      <c r="AW201" s="8"/>
      <c r="AX201" s="8"/>
      <c r="AY201" s="10"/>
      <c r="AZ201" s="8">
        <v>1251</v>
      </c>
      <c r="BA201" s="8">
        <f t="shared" ref="BA201:BH201" si="446">+BA200/(32.15074)/(BA202)</f>
        <v>1443.6861595785651</v>
      </c>
      <c r="BB201" s="9">
        <f t="shared" si="446"/>
        <v>1220.1757586739395</v>
      </c>
      <c r="BC201" s="34">
        <f t="shared" si="446"/>
        <v>1501.9101074352059</v>
      </c>
      <c r="BD201" s="32">
        <f t="shared" si="446"/>
        <v>1457.8179362267467</v>
      </c>
      <c r="BE201" s="32">
        <f t="shared" si="446"/>
        <v>1203.4463999177719</v>
      </c>
      <c r="BF201" s="33">
        <f t="shared" si="446"/>
        <v>1216.8028447567015</v>
      </c>
      <c r="BG201" s="34">
        <f t="shared" si="446"/>
        <v>1057.7528360296783</v>
      </c>
      <c r="BH201" s="32">
        <f t="shared" si="446"/>
        <v>1218.5023269450721</v>
      </c>
      <c r="BI201" s="32">
        <f>+BI200/(32.15074)/(BI202)</f>
        <v>1526.7120372305315</v>
      </c>
      <c r="BJ201" s="32">
        <f>+BJ200/(32.15074)/(BJ202)-1</f>
        <v>1293.5413105608413</v>
      </c>
      <c r="BK201" s="213">
        <f>+BK200/(32.15074)/(BK202)</f>
        <v>1586.4495223617978</v>
      </c>
      <c r="BL201" s="214">
        <f>+BL200/(32.15074)/(BL202)</f>
        <v>1647.3488587971801</v>
      </c>
      <c r="BM201" s="214">
        <f>+BM200/(32.15074)/(BM202)</f>
        <v>1524.5780530973991</v>
      </c>
      <c r="BN201" s="259">
        <f>+BN200/(32.15074)/(BN202)-1</f>
        <v>1605.7516284787694</v>
      </c>
      <c r="BO201" s="213">
        <f t="shared" ref="BO201:BV201" si="447">+BO200/(32.15074)/(BO202)</f>
        <v>1457.4348427330808</v>
      </c>
      <c r="BP201" s="214">
        <f t="shared" si="447"/>
        <v>1221.2186408136349</v>
      </c>
      <c r="BQ201" s="214">
        <f t="shared" si="447"/>
        <v>1073.1852849301652</v>
      </c>
      <c r="BR201" s="214">
        <f t="shared" si="447"/>
        <v>882.74771632216823</v>
      </c>
      <c r="BS201" s="213">
        <f t="shared" si="447"/>
        <v>987.20590655970989</v>
      </c>
      <c r="BT201" s="214">
        <f t="shared" si="447"/>
        <v>1153.7965683397781</v>
      </c>
      <c r="BU201" s="214">
        <f t="shared" si="447"/>
        <v>1198.0374763082575</v>
      </c>
      <c r="BV201" s="259">
        <f t="shared" si="447"/>
        <v>1156.7093790065173</v>
      </c>
      <c r="BW201" s="214">
        <f t="shared" ref="BW201:BX201" si="448">+BW200/(32.15074)/(BW202)</f>
        <v>1283.0874394554826</v>
      </c>
      <c r="BX201" s="214">
        <f t="shared" si="448"/>
        <v>1175.2801998866819</v>
      </c>
      <c r="BY201" s="214">
        <f t="shared" ref="BY201:BZ201" si="449">+BY200/(32.15074)/(BY202)</f>
        <v>1192.8268560762526</v>
      </c>
      <c r="BZ201" s="214">
        <f t="shared" si="449"/>
        <v>1381.2417265008785</v>
      </c>
      <c r="CA201" s="213">
        <f t="shared" ref="CA201:CB201" si="450">+CA200/(32.15074)/(CA202)</f>
        <v>1369.2934219070494</v>
      </c>
      <c r="CB201" s="214">
        <f t="shared" si="450"/>
        <v>1571.3642581297288</v>
      </c>
      <c r="CC201" s="214">
        <f t="shared" ref="CC201:CF201" si="451">+CC200/(32.15074)/(CC202)</f>
        <v>1674.5940997893224</v>
      </c>
      <c r="CD201" s="259">
        <f t="shared" si="451"/>
        <v>1653.1017195799081</v>
      </c>
      <c r="CE201" s="213">
        <f t="shared" si="451"/>
        <v>1856.0175917442418</v>
      </c>
      <c r="CF201" s="214">
        <f t="shared" si="451"/>
        <v>2108.0221112989861</v>
      </c>
      <c r="CG201" s="214">
        <f t="shared" ref="CG201:CJ201" si="452">+CG200/(32.15074)/(CG202)</f>
        <v>1572.0229419218779</v>
      </c>
      <c r="CH201" s="259">
        <f t="shared" si="452"/>
        <v>1538.723400089699</v>
      </c>
      <c r="CI201" s="213">
        <f t="shared" si="452"/>
        <v>1722.7984642187239</v>
      </c>
      <c r="CJ201" s="214">
        <f t="shared" si="452"/>
        <v>1867.0924215452526</v>
      </c>
      <c r="CK201" s="214">
        <f t="shared" ref="CK201:CP201" si="453">+CK200/(32.15074)/(CK202)</f>
        <v>1956.5262095150511</v>
      </c>
      <c r="CL201" s="259">
        <f t="shared" si="453"/>
        <v>1982.2041346081969</v>
      </c>
      <c r="CM201" s="213">
        <f t="shared" si="453"/>
        <v>2236.6290448411701</v>
      </c>
      <c r="CN201" s="214">
        <f t="shared" si="453"/>
        <v>2291.5009671312364</v>
      </c>
      <c r="CO201" s="214">
        <f t="shared" si="453"/>
        <v>2372.2034319699692</v>
      </c>
      <c r="CP201" s="259">
        <f t="shared" si="453"/>
        <v>2571.8318626305299</v>
      </c>
      <c r="CQ201" s="213">
        <f t="shared" ref="CQ201:CT201" si="454">+CQ200/(32.15074)/(CQ202)</f>
        <v>2692.9422644731221</v>
      </c>
      <c r="CR201" s="214">
        <f t="shared" si="454"/>
        <v>3016.5940164068711</v>
      </c>
      <c r="CS201" s="214">
        <f t="shared" si="454"/>
        <v>3506.2829607260887</v>
      </c>
      <c r="CT201" s="259">
        <f t="shared" si="454"/>
        <v>4322.9460556672657</v>
      </c>
      <c r="CU201" s="213">
        <f t="shared" ref="CU201:CX201" si="455">+CU200/(32.15074)/(CU202)</f>
        <v>4732.8384816624475</v>
      </c>
      <c r="CV201" s="214">
        <f t="shared" si="455"/>
        <v>3663.2882224317705</v>
      </c>
      <c r="CW201" s="214" t="e">
        <f t="shared" si="455"/>
        <v>#DIV/0!</v>
      </c>
      <c r="CX201" s="259" t="e">
        <f t="shared" si="455"/>
        <v>#DIV/0!</v>
      </c>
    </row>
    <row r="202" spans="1:102" x14ac:dyDescent="0.25">
      <c r="A202" s="225"/>
      <c r="B202" s="300" t="s">
        <v>83</v>
      </c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1"/>
      <c r="AZ202" s="12">
        <v>10.68</v>
      </c>
      <c r="BA202" s="12">
        <f t="shared" ref="BA202:BH202" si="456">+BA151</f>
        <v>10.72</v>
      </c>
      <c r="BB202" s="13">
        <f t="shared" si="456"/>
        <v>11.2</v>
      </c>
      <c r="BC202" s="35">
        <f t="shared" si="456"/>
        <v>11.7</v>
      </c>
      <c r="BD202" s="36">
        <f t="shared" si="456"/>
        <v>12.07</v>
      </c>
      <c r="BE202" s="36">
        <f t="shared" si="456"/>
        <v>13</v>
      </c>
      <c r="BF202" s="37">
        <f t="shared" si="456"/>
        <v>14.21</v>
      </c>
      <c r="BG202" s="35">
        <f t="shared" si="456"/>
        <v>15.79</v>
      </c>
      <c r="BH202" s="36">
        <f t="shared" si="456"/>
        <v>14.97</v>
      </c>
      <c r="BI202" s="36">
        <f>+BI151</f>
        <v>14.06</v>
      </c>
      <c r="BJ202" s="36">
        <f>+BJ151</f>
        <v>13.88</v>
      </c>
      <c r="BK202" s="301">
        <f>+BK151</f>
        <v>13.21</v>
      </c>
      <c r="BL202" s="297">
        <f>+BL151</f>
        <v>13.2</v>
      </c>
      <c r="BM202" s="297">
        <f>+BM151</f>
        <v>13.18</v>
      </c>
      <c r="BN202" s="227">
        <v>13.63</v>
      </c>
      <c r="BO202" s="301">
        <f>+BO151</f>
        <v>11.96</v>
      </c>
      <c r="BP202" s="297">
        <v>12.65</v>
      </c>
      <c r="BQ202" s="297">
        <v>14.05</v>
      </c>
      <c r="BR202" s="297">
        <v>14.31</v>
      </c>
      <c r="BS202" s="301">
        <v>14.01</v>
      </c>
      <c r="BT202" s="297">
        <v>14.39</v>
      </c>
      <c r="BU202" s="297">
        <v>14.67</v>
      </c>
      <c r="BV202" s="302">
        <v>14.72</v>
      </c>
      <c r="BW202" s="297">
        <v>15.38</v>
      </c>
      <c r="BX202" s="297">
        <v>17.95</v>
      </c>
      <c r="BY202" s="297">
        <v>16.91</v>
      </c>
      <c r="BZ202" s="297">
        <v>15.61</v>
      </c>
      <c r="CA202" s="301">
        <v>14.96</v>
      </c>
      <c r="CB202" s="297">
        <v>14.13</v>
      </c>
      <c r="CC202" s="297">
        <v>14.63</v>
      </c>
      <c r="CD202" s="302">
        <v>15.42</v>
      </c>
      <c r="CE202" s="301">
        <v>15.22</v>
      </c>
      <c r="CF202" s="297">
        <v>15.59</v>
      </c>
      <c r="CG202" s="297">
        <v>17.05</v>
      </c>
      <c r="CH202" s="302">
        <v>17.61</v>
      </c>
      <c r="CI202" s="301">
        <v>17.760000000000002</v>
      </c>
      <c r="CJ202" s="297">
        <v>18.66</v>
      </c>
      <c r="CK202" s="297">
        <v>18.59</v>
      </c>
      <c r="CL202" s="326">
        <v>18.649999999999999</v>
      </c>
      <c r="CM202" s="301">
        <v>18.86</v>
      </c>
      <c r="CN202" s="297">
        <v>18.57</v>
      </c>
      <c r="CO202" s="297">
        <v>17.96</v>
      </c>
      <c r="CP202" s="326">
        <v>17.88</v>
      </c>
      <c r="CQ202" s="301">
        <v>18.48</v>
      </c>
      <c r="CR202" s="297">
        <v>18.29</v>
      </c>
      <c r="CS202" s="297">
        <v>17.64</v>
      </c>
      <c r="CT202" s="326">
        <v>17.11</v>
      </c>
      <c r="CU202" s="301">
        <v>16.34</v>
      </c>
      <c r="CV202" s="297">
        <v>16.48</v>
      </c>
      <c r="CW202" s="297"/>
      <c r="CX202" s="326"/>
    </row>
    <row r="203" spans="1:102" x14ac:dyDescent="0.25">
      <c r="A203" s="225"/>
      <c r="B203" s="227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10"/>
      <c r="AZ203" s="8"/>
      <c r="BA203" s="8"/>
      <c r="BB203" s="9"/>
      <c r="BC203" s="43"/>
      <c r="BD203" s="32"/>
      <c r="BE203" s="32"/>
      <c r="BF203" s="33"/>
      <c r="BG203" s="43"/>
      <c r="BH203" s="44"/>
      <c r="BK203" s="225"/>
      <c r="BL203" s="208"/>
      <c r="BM203" s="208"/>
      <c r="BN203" s="227"/>
      <c r="BO203" s="225"/>
      <c r="BP203" s="208"/>
      <c r="BQ203" s="208"/>
      <c r="BR203" s="208"/>
      <c r="BS203" s="225"/>
      <c r="BT203" s="208"/>
      <c r="BU203" s="208"/>
      <c r="BV203" s="227"/>
      <c r="BW203" s="208"/>
      <c r="BX203" s="208"/>
      <c r="BY203" s="208"/>
      <c r="BZ203" s="208"/>
      <c r="CA203" s="225"/>
      <c r="CB203" s="208"/>
      <c r="CC203" s="208"/>
      <c r="CD203" s="227"/>
      <c r="CE203" s="225"/>
      <c r="CF203" s="208"/>
      <c r="CG203" s="208"/>
      <c r="CH203" s="227"/>
      <c r="CI203" s="225"/>
      <c r="CJ203" s="208"/>
      <c r="CK203" s="208"/>
      <c r="CL203" s="227"/>
      <c r="CM203" s="225"/>
      <c r="CN203" s="208"/>
      <c r="CO203" s="208"/>
      <c r="CP203" s="227"/>
      <c r="CQ203" s="225"/>
      <c r="CR203" s="208"/>
      <c r="CS203" s="208"/>
      <c r="CT203" s="227"/>
      <c r="CU203" s="225"/>
      <c r="CV203" s="208"/>
      <c r="CW203" s="208"/>
      <c r="CX203" s="227"/>
    </row>
    <row r="204" spans="1:102" x14ac:dyDescent="0.25">
      <c r="A204" s="225"/>
      <c r="B204" s="227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10"/>
      <c r="AZ204" s="8"/>
      <c r="BA204" s="8"/>
      <c r="BB204" s="9"/>
      <c r="BC204" s="43"/>
      <c r="BD204" s="32"/>
      <c r="BE204" s="32"/>
      <c r="BF204" s="33"/>
      <c r="BG204" s="43"/>
      <c r="BH204" s="44"/>
      <c r="BK204" s="225"/>
      <c r="BL204" s="208"/>
      <c r="BM204" s="208"/>
      <c r="BN204" s="227"/>
      <c r="BO204" s="225"/>
      <c r="BP204" s="208"/>
      <c r="BQ204" s="208"/>
      <c r="BR204" s="208"/>
      <c r="BS204" s="225"/>
      <c r="BT204" s="208"/>
      <c r="BU204" s="208"/>
      <c r="BV204" s="227"/>
      <c r="BW204" s="208"/>
      <c r="BX204" s="208"/>
      <c r="BY204" s="208"/>
      <c r="BZ204" s="208"/>
      <c r="CA204" s="225"/>
      <c r="CB204" s="208"/>
      <c r="CC204" s="208"/>
      <c r="CD204" s="227"/>
      <c r="CE204" s="225"/>
      <c r="CF204" s="208"/>
      <c r="CG204" s="208"/>
      <c r="CH204" s="227"/>
      <c r="CI204" s="225"/>
      <c r="CJ204" s="208"/>
      <c r="CK204" s="208"/>
      <c r="CL204" s="227"/>
      <c r="CM204" s="225"/>
      <c r="CN204" s="208"/>
      <c r="CO204" s="208"/>
      <c r="CP204" s="227"/>
      <c r="CQ204" s="225"/>
      <c r="CR204" s="208"/>
      <c r="CS204" s="208"/>
      <c r="CT204" s="227"/>
      <c r="CU204" s="225"/>
      <c r="CV204" s="208"/>
      <c r="CW204" s="208"/>
      <c r="CX204" s="227"/>
    </row>
    <row r="205" spans="1:102" ht="21" x14ac:dyDescent="0.35">
      <c r="A205" s="166"/>
      <c r="B205" s="165" t="s">
        <v>158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4"/>
      <c r="AZ205" s="121" t="s">
        <v>88</v>
      </c>
      <c r="BA205" s="121"/>
      <c r="BB205" s="122"/>
      <c r="BC205" s="123"/>
      <c r="BD205" s="121"/>
      <c r="BE205" s="121"/>
      <c r="BF205" s="122"/>
      <c r="BG205" s="123"/>
      <c r="BH205" s="121"/>
      <c r="BI205" s="106"/>
      <c r="BJ205" s="106"/>
      <c r="BK205" s="107"/>
      <c r="BL205" s="106"/>
      <c r="BM205" s="106"/>
      <c r="BN205" s="108"/>
      <c r="BO205" s="107"/>
      <c r="BP205" s="106"/>
      <c r="BQ205" s="106"/>
      <c r="BR205" s="106"/>
      <c r="BS205" s="107"/>
      <c r="BT205" s="106"/>
      <c r="BU205" s="106"/>
      <c r="BV205" s="108"/>
      <c r="BW205" s="106"/>
      <c r="BX205" s="106"/>
      <c r="BY205" s="106"/>
      <c r="BZ205" s="106"/>
      <c r="CA205" s="107"/>
      <c r="CB205" s="106"/>
      <c r="CC205" s="106"/>
      <c r="CD205" s="108"/>
      <c r="CE205" s="107"/>
      <c r="CF205" s="106"/>
      <c r="CG205" s="106"/>
      <c r="CH205" s="108"/>
      <c r="CI205" s="107"/>
      <c r="CJ205" s="106"/>
      <c r="CK205" s="106"/>
      <c r="CL205" s="108"/>
      <c r="CM205" s="107"/>
      <c r="CN205" s="106"/>
      <c r="CO205" s="106"/>
      <c r="CP205" s="108"/>
      <c r="CQ205" s="107"/>
      <c r="CR205" s="106"/>
      <c r="CS205" s="106"/>
      <c r="CT205" s="108"/>
      <c r="CU205" s="107"/>
      <c r="CV205" s="106"/>
      <c r="CW205" s="106"/>
      <c r="CX205" s="108"/>
    </row>
    <row r="206" spans="1:102" x14ac:dyDescent="0.25">
      <c r="A206" s="225"/>
      <c r="B206" s="290" t="s">
        <v>51</v>
      </c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10"/>
      <c r="BB206" s="23"/>
      <c r="BC206" s="49"/>
      <c r="BD206" s="50"/>
      <c r="BE206" s="50"/>
      <c r="BF206" s="51"/>
      <c r="BG206" s="49"/>
      <c r="BH206" s="50"/>
      <c r="BK206" s="225"/>
      <c r="BL206" s="208"/>
      <c r="BM206" s="208"/>
      <c r="BN206" s="227"/>
      <c r="BO206" s="213"/>
      <c r="BP206" s="214"/>
      <c r="BQ206" s="214">
        <v>0</v>
      </c>
      <c r="BR206" s="214">
        <v>0</v>
      </c>
      <c r="BS206" s="213">
        <v>0</v>
      </c>
      <c r="BT206" s="214">
        <v>0</v>
      </c>
      <c r="BU206" s="214">
        <v>0</v>
      </c>
      <c r="BV206" s="259">
        <v>0</v>
      </c>
      <c r="BW206" s="214">
        <v>0</v>
      </c>
      <c r="BX206" s="214">
        <v>0</v>
      </c>
      <c r="BY206" s="214">
        <v>0</v>
      </c>
      <c r="BZ206" s="214">
        <v>0</v>
      </c>
      <c r="CA206" s="213">
        <v>0</v>
      </c>
      <c r="CB206" s="214">
        <v>0</v>
      </c>
      <c r="CC206" s="214">
        <v>0</v>
      </c>
      <c r="CD206" s="259">
        <v>0</v>
      </c>
      <c r="CE206" s="213">
        <v>0</v>
      </c>
      <c r="CF206" s="214">
        <v>0</v>
      </c>
      <c r="CG206" s="214">
        <v>0</v>
      </c>
      <c r="CH206" s="259">
        <v>0</v>
      </c>
      <c r="CI206" s="213">
        <v>0</v>
      </c>
      <c r="CJ206" s="214">
        <v>0</v>
      </c>
      <c r="CK206" s="214">
        <v>0</v>
      </c>
      <c r="CL206" s="259">
        <v>0</v>
      </c>
      <c r="CM206" s="213"/>
      <c r="CN206" s="214"/>
      <c r="CO206" s="214"/>
      <c r="CP206" s="259"/>
      <c r="CQ206" s="213"/>
      <c r="CR206" s="214"/>
      <c r="CS206" s="214"/>
      <c r="CT206" s="259"/>
      <c r="CU206" s="213"/>
      <c r="CV206" s="214"/>
      <c r="CW206" s="214"/>
      <c r="CX206" s="259"/>
    </row>
    <row r="207" spans="1:102" x14ac:dyDescent="0.25">
      <c r="A207" s="225"/>
      <c r="B207" s="290" t="s">
        <v>262</v>
      </c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10"/>
      <c r="AZ207" s="8"/>
      <c r="BA207" s="8"/>
      <c r="BB207" s="9"/>
      <c r="BC207" s="34"/>
      <c r="BD207" s="32"/>
      <c r="BE207" s="32"/>
      <c r="BF207" s="33"/>
      <c r="BG207" s="34"/>
      <c r="BH207" s="32"/>
      <c r="BI207" s="32"/>
      <c r="BJ207" s="32"/>
      <c r="BK207" s="213"/>
      <c r="BL207" s="214"/>
      <c r="BM207" s="214"/>
      <c r="BN207" s="259"/>
      <c r="BO207" s="213"/>
      <c r="BP207" s="214"/>
      <c r="BQ207" s="214">
        <v>0</v>
      </c>
      <c r="BR207" s="214">
        <v>0</v>
      </c>
      <c r="BS207" s="213">
        <v>0</v>
      </c>
      <c r="BT207" s="214">
        <v>0</v>
      </c>
      <c r="BU207" s="214">
        <v>0</v>
      </c>
      <c r="BV207" s="259">
        <v>0</v>
      </c>
      <c r="BW207" s="214">
        <v>0</v>
      </c>
      <c r="BX207" s="214">
        <v>0</v>
      </c>
      <c r="BY207" s="214">
        <v>0</v>
      </c>
      <c r="BZ207" s="214">
        <v>0</v>
      </c>
      <c r="CA207" s="213">
        <v>0</v>
      </c>
      <c r="CB207" s="214">
        <v>0</v>
      </c>
      <c r="CC207" s="214">
        <v>0</v>
      </c>
      <c r="CD207" s="259">
        <v>0</v>
      </c>
      <c r="CE207" s="213">
        <v>0</v>
      </c>
      <c r="CF207" s="214">
        <v>0</v>
      </c>
      <c r="CG207" s="214">
        <v>0</v>
      </c>
      <c r="CH207" s="259">
        <v>0</v>
      </c>
      <c r="CI207" s="213">
        <v>0</v>
      </c>
      <c r="CJ207" s="214">
        <v>0</v>
      </c>
      <c r="CK207" s="214">
        <v>0</v>
      </c>
      <c r="CL207" s="259">
        <v>0</v>
      </c>
      <c r="CM207" s="213"/>
      <c r="CN207" s="214"/>
      <c r="CO207" s="214"/>
      <c r="CP207" s="259"/>
      <c r="CQ207" s="213"/>
      <c r="CR207" s="214"/>
      <c r="CS207" s="214"/>
      <c r="CT207" s="259"/>
      <c r="CU207" s="213"/>
      <c r="CV207" s="214"/>
      <c r="CW207" s="214"/>
      <c r="CX207" s="259"/>
    </row>
    <row r="208" spans="1:102" x14ac:dyDescent="0.25">
      <c r="A208" s="225"/>
      <c r="B208" s="292" t="s">
        <v>123</v>
      </c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10"/>
      <c r="BB208" s="23"/>
      <c r="BC208" s="46"/>
      <c r="BD208" s="50"/>
      <c r="BE208" s="50"/>
      <c r="BF208" s="51"/>
      <c r="BG208" s="46"/>
      <c r="BH208" s="47"/>
      <c r="BK208" s="225"/>
      <c r="BL208" s="208"/>
      <c r="BM208" s="208"/>
      <c r="BN208" s="227"/>
      <c r="BO208" s="288"/>
      <c r="BP208" s="208"/>
      <c r="BQ208" s="208"/>
      <c r="BR208" s="208"/>
      <c r="BS208" s="225"/>
      <c r="BT208" s="208"/>
      <c r="BU208" s="208"/>
      <c r="BV208" s="227"/>
      <c r="BW208" s="208"/>
      <c r="BX208" s="208"/>
      <c r="BY208" s="208"/>
      <c r="BZ208" s="208"/>
      <c r="CA208" s="225"/>
      <c r="CB208" s="208"/>
      <c r="CC208" s="208"/>
      <c r="CD208" s="227"/>
      <c r="CE208" s="225"/>
      <c r="CF208" s="208"/>
      <c r="CG208" s="208"/>
      <c r="CH208" s="227"/>
      <c r="CI208" s="225"/>
      <c r="CJ208" s="208"/>
      <c r="CK208" s="208"/>
      <c r="CL208" s="227"/>
      <c r="CM208" s="225"/>
      <c r="CN208" s="208"/>
      <c r="CO208" s="208"/>
      <c r="CP208" s="227"/>
      <c r="CQ208" s="225"/>
      <c r="CR208" s="208"/>
      <c r="CS208" s="208"/>
      <c r="CT208" s="227"/>
      <c r="CU208" s="225"/>
      <c r="CV208" s="208"/>
      <c r="CW208" s="208"/>
      <c r="CX208" s="227"/>
    </row>
    <row r="209" spans="1:102" x14ac:dyDescent="0.25">
      <c r="A209" s="225"/>
      <c r="B209" s="227" t="s">
        <v>52</v>
      </c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10"/>
      <c r="AZ209" s="8"/>
      <c r="BA209" s="8"/>
      <c r="BB209" s="9"/>
      <c r="BC209" s="34"/>
      <c r="BD209" s="32"/>
      <c r="BE209" s="32"/>
      <c r="BF209" s="33"/>
      <c r="BG209" s="34"/>
      <c r="BH209" s="32"/>
      <c r="BI209" s="32"/>
      <c r="BJ209" s="32"/>
      <c r="BK209" s="213"/>
      <c r="BL209" s="214"/>
      <c r="BM209" s="214"/>
      <c r="BN209" s="259"/>
      <c r="BO209" s="213"/>
      <c r="BP209" s="249"/>
      <c r="BQ209" s="249">
        <v>0</v>
      </c>
      <c r="BR209" s="249">
        <v>0</v>
      </c>
      <c r="BS209" s="262">
        <v>0</v>
      </c>
      <c r="BT209" s="249">
        <v>0</v>
      </c>
      <c r="BU209" s="249">
        <v>0</v>
      </c>
      <c r="BV209" s="291">
        <v>0</v>
      </c>
      <c r="BW209" s="249">
        <v>0</v>
      </c>
      <c r="BX209" s="249">
        <v>0</v>
      </c>
      <c r="BY209" s="249">
        <v>0</v>
      </c>
      <c r="BZ209" s="249">
        <v>0</v>
      </c>
      <c r="CA209" s="262">
        <v>0</v>
      </c>
      <c r="CB209" s="249">
        <v>0</v>
      </c>
      <c r="CC209" s="249">
        <v>0</v>
      </c>
      <c r="CD209" s="291">
        <v>0</v>
      </c>
      <c r="CE209" s="262">
        <v>0</v>
      </c>
      <c r="CF209" s="249">
        <v>0</v>
      </c>
      <c r="CG209" s="249">
        <v>0</v>
      </c>
      <c r="CH209" s="291">
        <v>0</v>
      </c>
      <c r="CI209" s="262">
        <v>0</v>
      </c>
      <c r="CJ209" s="249">
        <v>0</v>
      </c>
      <c r="CK209" s="249">
        <v>0</v>
      </c>
      <c r="CL209" s="291">
        <v>0</v>
      </c>
      <c r="CM209" s="262"/>
      <c r="CN209" s="249"/>
      <c r="CO209" s="249"/>
      <c r="CP209" s="291"/>
      <c r="CQ209" s="262"/>
      <c r="CR209" s="249"/>
      <c r="CS209" s="249"/>
      <c r="CT209" s="291"/>
      <c r="CU209" s="262"/>
      <c r="CV209" s="249"/>
      <c r="CW209" s="249"/>
      <c r="CX209" s="291"/>
    </row>
    <row r="210" spans="1:102" x14ac:dyDescent="0.25">
      <c r="A210" s="225"/>
      <c r="B210" s="227" t="s">
        <v>53</v>
      </c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10"/>
      <c r="AZ210" s="8"/>
      <c r="BA210" s="8"/>
      <c r="BB210" s="9"/>
      <c r="BC210" s="34"/>
      <c r="BD210" s="32"/>
      <c r="BE210" s="32"/>
      <c r="BF210" s="33"/>
      <c r="BG210" s="34"/>
      <c r="BH210" s="32"/>
      <c r="BI210" s="32"/>
      <c r="BJ210" s="32"/>
      <c r="BK210" s="213"/>
      <c r="BL210" s="214"/>
      <c r="BM210" s="214"/>
      <c r="BN210" s="259"/>
      <c r="BO210" s="213"/>
      <c r="BP210" s="249"/>
      <c r="BQ210" s="249">
        <v>4149</v>
      </c>
      <c r="BR210" s="249">
        <v>5755</v>
      </c>
      <c r="BS210" s="262">
        <v>5674</v>
      </c>
      <c r="BT210" s="249">
        <v>6761</v>
      </c>
      <c r="BU210" s="249">
        <v>7155</v>
      </c>
      <c r="BV210" s="291">
        <v>6828</v>
      </c>
      <c r="BW210" s="249">
        <v>6560</v>
      </c>
      <c r="BX210" s="249">
        <v>5737</v>
      </c>
      <c r="BY210" s="249">
        <v>7260</v>
      </c>
      <c r="BZ210" s="249">
        <v>7073</v>
      </c>
      <c r="CA210" s="262">
        <v>7272</v>
      </c>
      <c r="CB210" s="249">
        <v>7506</v>
      </c>
      <c r="CC210" s="249">
        <v>7421</v>
      </c>
      <c r="CD210" s="291">
        <v>7045</v>
      </c>
      <c r="CE210" s="262">
        <v>6659</v>
      </c>
      <c r="CF210" s="249">
        <v>7064</v>
      </c>
      <c r="CG210" s="249">
        <v>7157</v>
      </c>
      <c r="CH210" s="291">
        <v>5685</v>
      </c>
      <c r="CI210" s="262">
        <v>5271</v>
      </c>
      <c r="CJ210" s="249">
        <v>4972</v>
      </c>
      <c r="CK210" s="249">
        <v>5632</v>
      </c>
      <c r="CL210" s="291">
        <v>5533</v>
      </c>
      <c r="CM210" s="262">
        <v>5330</v>
      </c>
      <c r="CN210" s="249">
        <v>5773</v>
      </c>
      <c r="CO210" s="249">
        <v>6547</v>
      </c>
      <c r="CP210" s="291">
        <v>6368</v>
      </c>
      <c r="CQ210" s="262">
        <v>6046</v>
      </c>
      <c r="CR210" s="249">
        <v>6651</v>
      </c>
      <c r="CS210" s="249">
        <v>6481</v>
      </c>
      <c r="CT210" s="291">
        <v>5975</v>
      </c>
      <c r="CU210" s="262">
        <v>6269</v>
      </c>
      <c r="CV210" s="249">
        <v>6345</v>
      </c>
      <c r="CW210" s="249"/>
      <c r="CX210" s="291"/>
    </row>
    <row r="211" spans="1:102" x14ac:dyDescent="0.25">
      <c r="A211" s="306"/>
      <c r="B211" s="290" t="s">
        <v>54</v>
      </c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2"/>
      <c r="AZ211" s="63"/>
      <c r="BA211" s="63"/>
      <c r="BB211" s="64"/>
      <c r="BC211" s="65"/>
      <c r="BD211" s="66"/>
      <c r="BE211" s="66"/>
      <c r="BF211" s="67"/>
      <c r="BG211" s="65"/>
      <c r="BH211" s="66"/>
      <c r="BI211" s="66"/>
      <c r="BJ211" s="66"/>
      <c r="BK211" s="109"/>
      <c r="BL211" s="110"/>
      <c r="BM211" s="110"/>
      <c r="BN211" s="111"/>
      <c r="BO211" s="109"/>
      <c r="BP211" s="110"/>
      <c r="BQ211" s="110">
        <f t="shared" ref="BQ211:BV211" si="457">+BQ210+BQ209</f>
        <v>4149</v>
      </c>
      <c r="BR211" s="110">
        <f t="shared" si="457"/>
        <v>5755</v>
      </c>
      <c r="BS211" s="109">
        <f t="shared" si="457"/>
        <v>5674</v>
      </c>
      <c r="BT211" s="110">
        <f t="shared" si="457"/>
        <v>6761</v>
      </c>
      <c r="BU211" s="110">
        <f t="shared" si="457"/>
        <v>7155</v>
      </c>
      <c r="BV211" s="111">
        <f t="shared" si="457"/>
        <v>6828</v>
      </c>
      <c r="BW211" s="110">
        <f t="shared" ref="BW211:BX211" si="458">+BW210+BW209</f>
        <v>6560</v>
      </c>
      <c r="BX211" s="110">
        <f t="shared" si="458"/>
        <v>5737</v>
      </c>
      <c r="BY211" s="110">
        <f t="shared" ref="BY211:BZ211" si="459">+BY210+BY209</f>
        <v>7260</v>
      </c>
      <c r="BZ211" s="110">
        <f t="shared" si="459"/>
        <v>7073</v>
      </c>
      <c r="CA211" s="109">
        <f t="shared" ref="CA211:CB211" si="460">+CA210+CA209</f>
        <v>7272</v>
      </c>
      <c r="CB211" s="110">
        <f t="shared" si="460"/>
        <v>7506</v>
      </c>
      <c r="CC211" s="110">
        <f t="shared" ref="CC211:CF211" si="461">+CC210+CC209</f>
        <v>7421</v>
      </c>
      <c r="CD211" s="111">
        <f t="shared" si="461"/>
        <v>7045</v>
      </c>
      <c r="CE211" s="109">
        <f t="shared" si="461"/>
        <v>6659</v>
      </c>
      <c r="CF211" s="110">
        <f t="shared" si="461"/>
        <v>7064</v>
      </c>
      <c r="CG211" s="110">
        <f t="shared" ref="CG211:CJ211" si="462">+CG210+CG209</f>
        <v>7157</v>
      </c>
      <c r="CH211" s="111">
        <f t="shared" si="462"/>
        <v>5685</v>
      </c>
      <c r="CI211" s="109">
        <f t="shared" si="462"/>
        <v>5271</v>
      </c>
      <c r="CJ211" s="110">
        <f t="shared" si="462"/>
        <v>4972</v>
      </c>
      <c r="CK211" s="110">
        <f t="shared" ref="CK211:CP211" si="463">+CK210+CK209</f>
        <v>5632</v>
      </c>
      <c r="CL211" s="111">
        <f t="shared" si="463"/>
        <v>5533</v>
      </c>
      <c r="CM211" s="109">
        <f t="shared" si="463"/>
        <v>5330</v>
      </c>
      <c r="CN211" s="110">
        <f t="shared" si="463"/>
        <v>5773</v>
      </c>
      <c r="CO211" s="110">
        <f t="shared" si="463"/>
        <v>6547</v>
      </c>
      <c r="CP211" s="111">
        <f t="shared" si="463"/>
        <v>6368</v>
      </c>
      <c r="CQ211" s="109">
        <f t="shared" ref="CQ211:CT211" si="464">+CQ210+CQ209</f>
        <v>6046</v>
      </c>
      <c r="CR211" s="110">
        <f t="shared" si="464"/>
        <v>6651</v>
      </c>
      <c r="CS211" s="110">
        <f t="shared" si="464"/>
        <v>6481</v>
      </c>
      <c r="CT211" s="111">
        <f t="shared" si="464"/>
        <v>5975</v>
      </c>
      <c r="CU211" s="109">
        <f t="shared" ref="CU211:CX211" si="465">+CU210+CU209</f>
        <v>6269</v>
      </c>
      <c r="CV211" s="110">
        <f t="shared" si="465"/>
        <v>6345</v>
      </c>
      <c r="CW211" s="110">
        <f t="shared" si="465"/>
        <v>0</v>
      </c>
      <c r="CX211" s="111">
        <f t="shared" si="465"/>
        <v>0</v>
      </c>
    </row>
    <row r="212" spans="1:102" x14ac:dyDescent="0.25">
      <c r="A212" s="225"/>
      <c r="B212" s="292" t="s">
        <v>55</v>
      </c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10"/>
      <c r="BB212" s="23"/>
      <c r="BC212" s="49"/>
      <c r="BD212" s="50"/>
      <c r="BE212" s="50"/>
      <c r="BF212" s="51"/>
      <c r="BG212" s="49"/>
      <c r="BH212" s="50"/>
      <c r="BK212" s="225"/>
      <c r="BL212" s="208"/>
      <c r="BM212" s="208"/>
      <c r="BN212" s="227"/>
      <c r="BO212" s="288"/>
      <c r="BP212" s="208"/>
      <c r="BQ212" s="208"/>
      <c r="BR212" s="208"/>
      <c r="BS212" s="225"/>
      <c r="BT212" s="208"/>
      <c r="BU212" s="208"/>
      <c r="BV212" s="227"/>
      <c r="BW212" s="208"/>
      <c r="BX212" s="208"/>
      <c r="BY212" s="208"/>
      <c r="BZ212" s="208"/>
      <c r="CA212" s="225"/>
      <c r="CB212" s="208"/>
      <c r="CC212" s="208"/>
      <c r="CD212" s="227"/>
      <c r="CE212" s="225"/>
      <c r="CF212" s="208"/>
      <c r="CG212" s="208"/>
      <c r="CH212" s="227"/>
      <c r="CI212" s="225"/>
      <c r="CJ212" s="208"/>
      <c r="CK212" s="208"/>
      <c r="CL212" s="227"/>
      <c r="CM212" s="225"/>
      <c r="CN212" s="208"/>
      <c r="CO212" s="208"/>
      <c r="CP212" s="227"/>
      <c r="CQ212" s="225"/>
      <c r="CR212" s="208"/>
      <c r="CS212" s="208"/>
      <c r="CT212" s="227"/>
      <c r="CU212" s="225"/>
      <c r="CV212" s="208"/>
      <c r="CW212" s="208"/>
      <c r="CX212" s="227"/>
    </row>
    <row r="213" spans="1:102" x14ac:dyDescent="0.25">
      <c r="A213" s="225"/>
      <c r="B213" s="227" t="s">
        <v>52</v>
      </c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4"/>
      <c r="AZ213" s="12"/>
      <c r="BA213" s="12"/>
      <c r="BB213" s="13"/>
      <c r="BC213" s="35"/>
      <c r="BD213" s="36"/>
      <c r="BE213" s="36"/>
      <c r="BF213" s="37"/>
      <c r="BG213" s="35"/>
      <c r="BH213" s="36"/>
      <c r="BI213" s="36"/>
      <c r="BJ213" s="36"/>
      <c r="BK213" s="301"/>
      <c r="BL213" s="297"/>
      <c r="BM213" s="297"/>
      <c r="BN213" s="302"/>
      <c r="BO213" s="322"/>
      <c r="BP213" s="323"/>
      <c r="BQ213" s="297">
        <v>0</v>
      </c>
      <c r="BR213" s="297">
        <v>0</v>
      </c>
      <c r="BS213" s="301">
        <v>0</v>
      </c>
      <c r="BT213" s="297">
        <v>0</v>
      </c>
      <c r="BU213" s="297">
        <v>0</v>
      </c>
      <c r="BV213" s="302">
        <v>0</v>
      </c>
      <c r="BW213" s="297">
        <v>0</v>
      </c>
      <c r="BX213" s="297">
        <v>0</v>
      </c>
      <c r="BY213" s="297">
        <v>0</v>
      </c>
      <c r="BZ213" s="297">
        <v>0</v>
      </c>
      <c r="CA213" s="301">
        <v>0</v>
      </c>
      <c r="CB213" s="297">
        <v>0</v>
      </c>
      <c r="CC213" s="297">
        <v>0</v>
      </c>
      <c r="CD213" s="302">
        <v>0</v>
      </c>
      <c r="CE213" s="301">
        <v>0</v>
      </c>
      <c r="CF213" s="297">
        <v>0</v>
      </c>
      <c r="CG213" s="297">
        <v>0</v>
      </c>
      <c r="CH213" s="302">
        <v>0</v>
      </c>
      <c r="CI213" s="301">
        <v>0</v>
      </c>
      <c r="CJ213" s="297">
        <v>0</v>
      </c>
      <c r="CK213" s="297">
        <v>0</v>
      </c>
      <c r="CL213" s="302">
        <v>0</v>
      </c>
      <c r="CM213" s="301"/>
      <c r="CN213" s="297"/>
      <c r="CO213" s="297"/>
      <c r="CP213" s="302"/>
      <c r="CQ213" s="301"/>
      <c r="CR213" s="297"/>
      <c r="CS213" s="297"/>
      <c r="CT213" s="302"/>
      <c r="CU213" s="301"/>
      <c r="CV213" s="297"/>
      <c r="CW213" s="297"/>
      <c r="CX213" s="302"/>
    </row>
    <row r="214" spans="1:102" x14ac:dyDescent="0.25">
      <c r="A214" s="225"/>
      <c r="B214" s="227" t="s">
        <v>53</v>
      </c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4"/>
      <c r="AZ214" s="12"/>
      <c r="BA214" s="12"/>
      <c r="BB214" s="13"/>
      <c r="BC214" s="35"/>
      <c r="BD214" s="36"/>
      <c r="BE214" s="36"/>
      <c r="BF214" s="37"/>
      <c r="BG214" s="35"/>
      <c r="BH214" s="36"/>
      <c r="BI214" s="36"/>
      <c r="BJ214" s="36"/>
      <c r="BK214" s="301"/>
      <c r="BL214" s="297"/>
      <c r="BM214" s="297"/>
      <c r="BN214" s="302"/>
      <c r="BO214" s="301"/>
      <c r="BP214" s="297"/>
      <c r="BQ214" s="297">
        <f t="shared" ref="BQ214:BU215" si="466">+BQ218/BQ210</f>
        <v>0.18245360327789828</v>
      </c>
      <c r="BR214" s="297">
        <f t="shared" si="466"/>
        <v>0.19304952215464813</v>
      </c>
      <c r="BS214" s="301">
        <f t="shared" si="466"/>
        <v>0.19915403595347198</v>
      </c>
      <c r="BT214" s="297">
        <f t="shared" si="466"/>
        <v>0.20928856678006211</v>
      </c>
      <c r="BU214" s="297">
        <f t="shared" si="466"/>
        <v>0.20866526904262753</v>
      </c>
      <c r="BV214" s="302">
        <f t="shared" ref="BV214:BW214" si="467">+BV218/BV210</f>
        <v>0.22612770943175162</v>
      </c>
      <c r="BW214" s="297">
        <f t="shared" si="467"/>
        <v>0.20518292682926828</v>
      </c>
      <c r="BX214" s="297">
        <f t="shared" ref="BX214:BY214" si="468">+BX218/BX210</f>
        <v>0.18145372145720759</v>
      </c>
      <c r="BY214" s="297">
        <f t="shared" si="468"/>
        <v>0.20853994490358127</v>
      </c>
      <c r="BZ214" s="297">
        <f t="shared" ref="BZ214:CA214" si="469">+BZ218/BZ210</f>
        <v>0.207832602855931</v>
      </c>
      <c r="CA214" s="301">
        <f t="shared" si="469"/>
        <v>0.19004400440044003</v>
      </c>
      <c r="CB214" s="297">
        <v>0.18</v>
      </c>
      <c r="CC214" s="297">
        <v>0.2</v>
      </c>
      <c r="CD214" s="302">
        <v>0.2</v>
      </c>
      <c r="CE214" s="301">
        <f t="shared" ref="CE214:CF214" si="470">+CE218/CE210</f>
        <v>0.20889022375732091</v>
      </c>
      <c r="CF214" s="297">
        <f t="shared" si="470"/>
        <v>0.20427519818799547</v>
      </c>
      <c r="CG214" s="297">
        <v>0.2</v>
      </c>
      <c r="CH214" s="302">
        <v>0.22</v>
      </c>
      <c r="CI214" s="301">
        <f t="shared" ref="CI214:CK214" si="471">+CI218/CI210</f>
        <v>0.25213431986340351</v>
      </c>
      <c r="CJ214" s="297">
        <f t="shared" si="471"/>
        <v>0.24577634754625904</v>
      </c>
      <c r="CK214" s="297">
        <f t="shared" si="471"/>
        <v>0.22798295454545456</v>
      </c>
      <c r="CL214" s="302">
        <v>0.23</v>
      </c>
      <c r="CM214" s="301">
        <v>0.23</v>
      </c>
      <c r="CN214" s="297">
        <f t="shared" ref="CN214:CO214" si="472">+CN218/CN210</f>
        <v>0.21271435995149834</v>
      </c>
      <c r="CO214" s="297">
        <f t="shared" si="472"/>
        <v>0.20146632045211546</v>
      </c>
      <c r="CP214" s="302">
        <v>0.2</v>
      </c>
      <c r="CQ214" s="301">
        <v>0.18</v>
      </c>
      <c r="CR214" s="297">
        <v>0.18</v>
      </c>
      <c r="CS214" s="297">
        <v>0.18</v>
      </c>
      <c r="CT214" s="302">
        <v>0.19</v>
      </c>
      <c r="CU214" s="301">
        <v>0.19</v>
      </c>
      <c r="CV214" s="297">
        <v>0.2</v>
      </c>
      <c r="CW214" s="297"/>
      <c r="CX214" s="302"/>
    </row>
    <row r="215" spans="1:102" x14ac:dyDescent="0.25">
      <c r="A215" s="306"/>
      <c r="B215" s="290" t="s">
        <v>56</v>
      </c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5"/>
      <c r="AB215" s="75"/>
      <c r="AC215" s="75"/>
      <c r="AD215" s="75"/>
      <c r="AE215" s="75"/>
      <c r="AF215" s="75"/>
      <c r="AG215" s="75"/>
      <c r="AH215" s="75"/>
      <c r="AI215" s="75"/>
      <c r="AJ215" s="75"/>
      <c r="AK215" s="75"/>
      <c r="AL215" s="75"/>
      <c r="AM215" s="75"/>
      <c r="AN215" s="75"/>
      <c r="AO215" s="75"/>
      <c r="AP215" s="75"/>
      <c r="AQ215" s="75"/>
      <c r="AR215" s="75"/>
      <c r="AS215" s="75"/>
      <c r="AT215" s="75"/>
      <c r="AU215" s="75"/>
      <c r="AV215" s="75"/>
      <c r="AW215" s="75"/>
      <c r="AX215" s="75"/>
      <c r="AY215" s="74"/>
      <c r="AZ215" s="69"/>
      <c r="BA215" s="69"/>
      <c r="BB215" s="70"/>
      <c r="BC215" s="71"/>
      <c r="BD215" s="72"/>
      <c r="BE215" s="72"/>
      <c r="BF215" s="73"/>
      <c r="BG215" s="71"/>
      <c r="BH215" s="72"/>
      <c r="BI215" s="72"/>
      <c r="BJ215" s="72"/>
      <c r="BK215" s="112"/>
      <c r="BL215" s="113"/>
      <c r="BM215" s="113"/>
      <c r="BN215" s="114"/>
      <c r="BO215" s="112"/>
      <c r="BP215" s="113"/>
      <c r="BQ215" s="113">
        <f t="shared" si="466"/>
        <v>0.18245360327789828</v>
      </c>
      <c r="BR215" s="113">
        <f t="shared" si="466"/>
        <v>0.19304952215464813</v>
      </c>
      <c r="BS215" s="112">
        <f t="shared" si="466"/>
        <v>0.19915403595347198</v>
      </c>
      <c r="BT215" s="113">
        <f t="shared" si="466"/>
        <v>0.20928856678006211</v>
      </c>
      <c r="BU215" s="113">
        <f t="shared" si="466"/>
        <v>0.20866526904262753</v>
      </c>
      <c r="BV215" s="114">
        <f t="shared" ref="BV215:BW215" si="473">+BV219/BV211</f>
        <v>0.22612770943175162</v>
      </c>
      <c r="BW215" s="113">
        <f t="shared" si="473"/>
        <v>0.20518292682926828</v>
      </c>
      <c r="BX215" s="113">
        <f t="shared" ref="BX215:BY215" si="474">+BX219/BX211</f>
        <v>0.18145372145720759</v>
      </c>
      <c r="BY215" s="113">
        <f t="shared" si="474"/>
        <v>0.20853994490358127</v>
      </c>
      <c r="BZ215" s="113">
        <f t="shared" ref="BZ215:CC215" si="475">+BZ219/BZ211</f>
        <v>0.207832602855931</v>
      </c>
      <c r="CA215" s="112">
        <f t="shared" si="475"/>
        <v>0.19004400440044003</v>
      </c>
      <c r="CB215" s="113">
        <f t="shared" si="475"/>
        <v>0.18078870237143618</v>
      </c>
      <c r="CC215" s="113">
        <f t="shared" si="475"/>
        <v>0.19525670394825495</v>
      </c>
      <c r="CD215" s="114">
        <f t="shared" ref="CD215:CG215" si="476">+CD219/CD211</f>
        <v>0.20397444996451383</v>
      </c>
      <c r="CE215" s="112">
        <f t="shared" si="476"/>
        <v>0.20889022375732091</v>
      </c>
      <c r="CF215" s="113">
        <f t="shared" si="476"/>
        <v>0.20427519818799547</v>
      </c>
      <c r="CG215" s="113">
        <f t="shared" si="476"/>
        <v>0.2030180243118625</v>
      </c>
      <c r="CH215" s="114">
        <f t="shared" ref="CH215:CK215" si="477">+CH219/CH211</f>
        <v>0.22480211081794196</v>
      </c>
      <c r="CI215" s="112">
        <f t="shared" si="477"/>
        <v>0.25213431986340351</v>
      </c>
      <c r="CJ215" s="113">
        <f t="shared" si="477"/>
        <v>0.24577634754625904</v>
      </c>
      <c r="CK215" s="113">
        <f t="shared" si="477"/>
        <v>0.22798295454545456</v>
      </c>
      <c r="CL215" s="114">
        <f t="shared" ref="CL215:CO215" si="478">+CL219/CL211</f>
        <v>0.22826676305801555</v>
      </c>
      <c r="CM215" s="112">
        <f t="shared" si="478"/>
        <v>0.2302063789868668</v>
      </c>
      <c r="CN215" s="113">
        <f t="shared" si="478"/>
        <v>0.21271435995149834</v>
      </c>
      <c r="CO215" s="113">
        <f t="shared" si="478"/>
        <v>0.20146632045211546</v>
      </c>
      <c r="CP215" s="114">
        <f t="shared" ref="CP215:CT215" si="479">+CP219/CP211</f>
        <v>0.19550879396984924</v>
      </c>
      <c r="CQ215" s="112">
        <f t="shared" si="479"/>
        <v>0.1806152828316242</v>
      </c>
      <c r="CR215" s="113">
        <f t="shared" si="479"/>
        <v>0.17636445647271087</v>
      </c>
      <c r="CS215" s="113">
        <f t="shared" si="479"/>
        <v>0.18376793704675204</v>
      </c>
      <c r="CT215" s="114">
        <f t="shared" si="479"/>
        <v>0.19179916317991633</v>
      </c>
      <c r="CU215" s="112">
        <f t="shared" ref="CU215:CX215" si="480">+CU219/CU211</f>
        <v>0.19444887541872707</v>
      </c>
      <c r="CV215" s="113">
        <f t="shared" si="480"/>
        <v>0.20220646178092985</v>
      </c>
      <c r="CW215" s="113" t="e">
        <f t="shared" si="480"/>
        <v>#DIV/0!</v>
      </c>
      <c r="CX215" s="114" t="e">
        <f t="shared" si="480"/>
        <v>#DIV/0!</v>
      </c>
    </row>
    <row r="216" spans="1:102" x14ac:dyDescent="0.25">
      <c r="A216" s="225"/>
      <c r="B216" s="292" t="s">
        <v>57</v>
      </c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10"/>
      <c r="BB216" s="23"/>
      <c r="BC216" s="49"/>
      <c r="BD216" s="50"/>
      <c r="BE216" s="50"/>
      <c r="BF216" s="51"/>
      <c r="BG216" s="49"/>
      <c r="BH216" s="50"/>
      <c r="BK216" s="225"/>
      <c r="BL216" s="208"/>
      <c r="BM216" s="208"/>
      <c r="BN216" s="227"/>
      <c r="BO216" s="288"/>
      <c r="BP216" s="208"/>
      <c r="BQ216" s="208"/>
      <c r="BR216" s="208"/>
      <c r="BS216" s="225"/>
      <c r="BT216" s="208"/>
      <c r="BU216" s="208"/>
      <c r="BV216" s="227"/>
      <c r="BW216" s="208"/>
      <c r="BX216" s="208"/>
      <c r="BY216" s="208"/>
      <c r="BZ216" s="208"/>
      <c r="CA216" s="225"/>
      <c r="CB216" s="208"/>
      <c r="CC216" s="208"/>
      <c r="CD216" s="227"/>
      <c r="CE216" s="225"/>
      <c r="CF216" s="208"/>
      <c r="CG216" s="208"/>
      <c r="CH216" s="227"/>
      <c r="CI216" s="225"/>
      <c r="CJ216" s="208"/>
      <c r="CK216" s="208"/>
      <c r="CL216" s="227"/>
      <c r="CM216" s="225"/>
      <c r="CN216" s="208"/>
      <c r="CO216" s="208"/>
      <c r="CP216" s="227"/>
      <c r="CQ216" s="225"/>
      <c r="CR216" s="208"/>
      <c r="CS216" s="208"/>
      <c r="CT216" s="227"/>
      <c r="CU216" s="225"/>
      <c r="CV216" s="208"/>
      <c r="CW216" s="208"/>
      <c r="CX216" s="227"/>
    </row>
    <row r="217" spans="1:102" x14ac:dyDescent="0.25">
      <c r="A217" s="225"/>
      <c r="B217" s="227" t="s">
        <v>52</v>
      </c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10"/>
      <c r="AZ217" s="8"/>
      <c r="BA217" s="8"/>
      <c r="BB217" s="9"/>
      <c r="BC217" s="34"/>
      <c r="BD217" s="32"/>
      <c r="BE217" s="32"/>
      <c r="BF217" s="33"/>
      <c r="BG217" s="34"/>
      <c r="BH217" s="32"/>
      <c r="BI217" s="32"/>
      <c r="BJ217" s="32"/>
      <c r="BK217" s="213"/>
      <c r="BL217" s="214"/>
      <c r="BM217" s="214"/>
      <c r="BN217" s="259"/>
      <c r="BO217" s="213"/>
      <c r="BP217" s="249"/>
      <c r="BQ217" s="249">
        <v>0</v>
      </c>
      <c r="BR217" s="249">
        <v>0</v>
      </c>
      <c r="BS217" s="262">
        <v>0</v>
      </c>
      <c r="BT217" s="249">
        <v>0</v>
      </c>
      <c r="BU217" s="249">
        <v>0</v>
      </c>
      <c r="BV217" s="291">
        <v>0</v>
      </c>
      <c r="BW217" s="249">
        <v>0</v>
      </c>
      <c r="BX217" s="249">
        <v>0</v>
      </c>
      <c r="BY217" s="249">
        <v>0</v>
      </c>
      <c r="BZ217" s="249">
        <v>0</v>
      </c>
      <c r="CA217" s="262">
        <v>0</v>
      </c>
      <c r="CB217" s="249">
        <v>0</v>
      </c>
      <c r="CC217" s="249">
        <v>0</v>
      </c>
      <c r="CD217" s="291">
        <v>0</v>
      </c>
      <c r="CE217" s="262">
        <v>0</v>
      </c>
      <c r="CF217" s="249">
        <v>0</v>
      </c>
      <c r="CG217" s="249">
        <v>0</v>
      </c>
      <c r="CH217" s="291">
        <v>0</v>
      </c>
      <c r="CI217" s="262">
        <v>0</v>
      </c>
      <c r="CJ217" s="249">
        <v>0</v>
      </c>
      <c r="CK217" s="249">
        <v>0</v>
      </c>
      <c r="CL217" s="291">
        <v>0</v>
      </c>
      <c r="CM217" s="262"/>
      <c r="CN217" s="249"/>
      <c r="CO217" s="249"/>
      <c r="CP217" s="291"/>
      <c r="CQ217" s="262"/>
      <c r="CR217" s="249"/>
      <c r="CS217" s="249"/>
      <c r="CT217" s="291"/>
      <c r="CU217" s="262"/>
      <c r="CV217" s="249"/>
      <c r="CW217" s="249"/>
      <c r="CX217" s="291"/>
    </row>
    <row r="218" spans="1:102" x14ac:dyDescent="0.25">
      <c r="A218" s="225"/>
      <c r="B218" s="227" t="s">
        <v>53</v>
      </c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10"/>
      <c r="AZ218" s="8"/>
      <c r="BA218" s="8"/>
      <c r="BB218" s="9"/>
      <c r="BC218" s="34"/>
      <c r="BD218" s="32"/>
      <c r="BE218" s="32"/>
      <c r="BF218" s="33"/>
      <c r="BG218" s="34"/>
      <c r="BH218" s="32"/>
      <c r="BI218" s="32"/>
      <c r="BJ218" s="32"/>
      <c r="BK218" s="213"/>
      <c r="BL218" s="214"/>
      <c r="BM218" s="214"/>
      <c r="BN218" s="259"/>
      <c r="BO218" s="213"/>
      <c r="BP218" s="249"/>
      <c r="BQ218" s="249">
        <v>757</v>
      </c>
      <c r="BR218" s="249">
        <v>1111</v>
      </c>
      <c r="BS218" s="262">
        <v>1130</v>
      </c>
      <c r="BT218" s="249">
        <v>1415</v>
      </c>
      <c r="BU218" s="249">
        <v>1493</v>
      </c>
      <c r="BV218" s="291">
        <v>1544</v>
      </c>
      <c r="BW218" s="249">
        <v>1346</v>
      </c>
      <c r="BX218" s="249">
        <v>1041</v>
      </c>
      <c r="BY218" s="249">
        <v>1514</v>
      </c>
      <c r="BZ218" s="249">
        <v>1470</v>
      </c>
      <c r="CA218" s="262">
        <v>1382</v>
      </c>
      <c r="CB218" s="249">
        <v>1357</v>
      </c>
      <c r="CC218" s="249">
        <v>1449</v>
      </c>
      <c r="CD218" s="291">
        <v>1437</v>
      </c>
      <c r="CE218" s="262">
        <v>1391</v>
      </c>
      <c r="CF218" s="249">
        <v>1443</v>
      </c>
      <c r="CG218" s="249">
        <v>1453</v>
      </c>
      <c r="CH218" s="291">
        <v>1278</v>
      </c>
      <c r="CI218" s="262">
        <v>1329</v>
      </c>
      <c r="CJ218" s="249">
        <v>1222</v>
      </c>
      <c r="CK218" s="249">
        <v>1284</v>
      </c>
      <c r="CL218" s="291">
        <v>1263</v>
      </c>
      <c r="CM218" s="262">
        <v>1227</v>
      </c>
      <c r="CN218" s="249">
        <v>1228</v>
      </c>
      <c r="CO218" s="249">
        <v>1319</v>
      </c>
      <c r="CP218" s="291">
        <v>1245</v>
      </c>
      <c r="CQ218" s="262">
        <v>1092</v>
      </c>
      <c r="CR218" s="249">
        <v>1173</v>
      </c>
      <c r="CS218" s="249">
        <v>1191</v>
      </c>
      <c r="CT218" s="291">
        <v>1146</v>
      </c>
      <c r="CU218" s="262">
        <v>1219</v>
      </c>
      <c r="CV218" s="249">
        <v>1283</v>
      </c>
      <c r="CW218" s="249"/>
      <c r="CX218" s="291"/>
    </row>
    <row r="219" spans="1:102" x14ac:dyDescent="0.25">
      <c r="A219" s="306"/>
      <c r="B219" s="290" t="s">
        <v>54</v>
      </c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2"/>
      <c r="AZ219" s="63"/>
      <c r="BA219" s="63"/>
      <c r="BB219" s="64"/>
      <c r="BC219" s="65"/>
      <c r="BD219" s="66"/>
      <c r="BE219" s="66"/>
      <c r="BF219" s="67"/>
      <c r="BG219" s="65"/>
      <c r="BH219" s="66"/>
      <c r="BI219" s="66"/>
      <c r="BJ219" s="66"/>
      <c r="BK219" s="109"/>
      <c r="BL219" s="110"/>
      <c r="BM219" s="110"/>
      <c r="BN219" s="111"/>
      <c r="BO219" s="109"/>
      <c r="BP219" s="110"/>
      <c r="BQ219" s="110">
        <f t="shared" ref="BQ219:BV219" si="481">+BQ218+BQ217</f>
        <v>757</v>
      </c>
      <c r="BR219" s="110">
        <f t="shared" si="481"/>
        <v>1111</v>
      </c>
      <c r="BS219" s="109">
        <f t="shared" si="481"/>
        <v>1130</v>
      </c>
      <c r="BT219" s="110">
        <f t="shared" si="481"/>
        <v>1415</v>
      </c>
      <c r="BU219" s="110">
        <f t="shared" si="481"/>
        <v>1493</v>
      </c>
      <c r="BV219" s="111">
        <f t="shared" si="481"/>
        <v>1544</v>
      </c>
      <c r="BW219" s="110">
        <f t="shared" ref="BW219:BX219" si="482">+BW218+BW217</f>
        <v>1346</v>
      </c>
      <c r="BX219" s="110">
        <f t="shared" si="482"/>
        <v>1041</v>
      </c>
      <c r="BY219" s="110">
        <f t="shared" ref="BY219:BZ219" si="483">+BY218+BY217</f>
        <v>1514</v>
      </c>
      <c r="BZ219" s="110">
        <f t="shared" si="483"/>
        <v>1470</v>
      </c>
      <c r="CA219" s="109">
        <f t="shared" ref="CA219:CB219" si="484">+CA218+CA217</f>
        <v>1382</v>
      </c>
      <c r="CB219" s="110">
        <f t="shared" si="484"/>
        <v>1357</v>
      </c>
      <c r="CC219" s="110">
        <f t="shared" ref="CC219:CF219" si="485">+CC218+CC217</f>
        <v>1449</v>
      </c>
      <c r="CD219" s="111">
        <f t="shared" si="485"/>
        <v>1437</v>
      </c>
      <c r="CE219" s="109">
        <f t="shared" si="485"/>
        <v>1391</v>
      </c>
      <c r="CF219" s="110">
        <f t="shared" si="485"/>
        <v>1443</v>
      </c>
      <c r="CG219" s="110">
        <f t="shared" ref="CG219:CJ219" si="486">+CG218+CG217</f>
        <v>1453</v>
      </c>
      <c r="CH219" s="111">
        <f t="shared" si="486"/>
        <v>1278</v>
      </c>
      <c r="CI219" s="109">
        <f t="shared" si="486"/>
        <v>1329</v>
      </c>
      <c r="CJ219" s="110">
        <f t="shared" si="486"/>
        <v>1222</v>
      </c>
      <c r="CK219" s="110">
        <f t="shared" ref="CK219:CP219" si="487">+CK218+CK217</f>
        <v>1284</v>
      </c>
      <c r="CL219" s="111">
        <f t="shared" si="487"/>
        <v>1263</v>
      </c>
      <c r="CM219" s="109">
        <f t="shared" si="487"/>
        <v>1227</v>
      </c>
      <c r="CN219" s="110">
        <f t="shared" si="487"/>
        <v>1228</v>
      </c>
      <c r="CO219" s="110">
        <f t="shared" si="487"/>
        <v>1319</v>
      </c>
      <c r="CP219" s="111">
        <f t="shared" si="487"/>
        <v>1245</v>
      </c>
      <c r="CQ219" s="109">
        <f t="shared" ref="CQ219:CT219" si="488">+CQ218+CQ217</f>
        <v>1092</v>
      </c>
      <c r="CR219" s="110">
        <f t="shared" si="488"/>
        <v>1173</v>
      </c>
      <c r="CS219" s="110">
        <f t="shared" si="488"/>
        <v>1191</v>
      </c>
      <c r="CT219" s="111">
        <f t="shared" si="488"/>
        <v>1146</v>
      </c>
      <c r="CU219" s="109">
        <f t="shared" ref="CU219:CX219" si="489">+CU218+CU217</f>
        <v>1219</v>
      </c>
      <c r="CV219" s="110">
        <f t="shared" si="489"/>
        <v>1283</v>
      </c>
      <c r="CW219" s="110">
        <f t="shared" si="489"/>
        <v>0</v>
      </c>
      <c r="CX219" s="111">
        <f t="shared" si="489"/>
        <v>0</v>
      </c>
    </row>
    <row r="220" spans="1:102" x14ac:dyDescent="0.25">
      <c r="A220" s="225"/>
      <c r="B220" s="310" t="s">
        <v>124</v>
      </c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180"/>
      <c r="AY220" s="10"/>
      <c r="BB220" s="23"/>
      <c r="BC220" s="49"/>
      <c r="BD220" s="50"/>
      <c r="BE220" s="50"/>
      <c r="BF220" s="51"/>
      <c r="BG220" s="49"/>
      <c r="BH220" s="50"/>
      <c r="BK220" s="225"/>
      <c r="BL220" s="208"/>
      <c r="BM220" s="208"/>
      <c r="BN220" s="227"/>
      <c r="BO220" s="288"/>
      <c r="BP220" s="208"/>
      <c r="BQ220" s="208"/>
      <c r="BR220" s="208"/>
      <c r="BS220" s="225"/>
      <c r="BT220" s="208"/>
      <c r="BU220" s="208"/>
      <c r="BV220" s="227"/>
      <c r="BW220" s="208"/>
      <c r="BX220" s="208"/>
      <c r="BY220" s="208"/>
      <c r="BZ220" s="208"/>
      <c r="CA220" s="225"/>
      <c r="CB220" s="208"/>
      <c r="CC220" s="208"/>
      <c r="CD220" s="227"/>
      <c r="CE220" s="225"/>
      <c r="CF220" s="208"/>
      <c r="CG220" s="208"/>
      <c r="CH220" s="227"/>
      <c r="CI220" s="225"/>
      <c r="CJ220" s="208"/>
      <c r="CK220" s="208"/>
      <c r="CL220" s="227"/>
      <c r="CM220" s="225"/>
      <c r="CN220" s="208"/>
      <c r="CO220" s="208"/>
      <c r="CP220" s="227"/>
      <c r="CQ220" s="225"/>
      <c r="CR220" s="208"/>
      <c r="CS220" s="208"/>
      <c r="CT220" s="227"/>
      <c r="CU220" s="225"/>
      <c r="CV220" s="208"/>
      <c r="CW220" s="208"/>
      <c r="CX220" s="227"/>
    </row>
    <row r="221" spans="1:102" x14ac:dyDescent="0.25">
      <c r="A221" s="225"/>
      <c r="B221" s="227" t="s">
        <v>52</v>
      </c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10"/>
      <c r="AZ221" s="8"/>
      <c r="BA221" s="8"/>
      <c r="BB221" s="9"/>
      <c r="BC221" s="34"/>
      <c r="BD221" s="32"/>
      <c r="BE221" s="32"/>
      <c r="BF221" s="33"/>
      <c r="BG221" s="34"/>
      <c r="BH221" s="32"/>
      <c r="BI221" s="32"/>
      <c r="BJ221" s="32"/>
      <c r="BK221" s="213"/>
      <c r="BL221" s="214"/>
      <c r="BM221" s="214"/>
      <c r="BN221" s="259"/>
      <c r="BO221" s="213"/>
      <c r="BP221" s="214"/>
      <c r="BQ221" s="214">
        <v>0</v>
      </c>
      <c r="BR221" s="214">
        <v>0</v>
      </c>
      <c r="BS221" s="213">
        <v>0</v>
      </c>
      <c r="BT221" s="214">
        <v>0</v>
      </c>
      <c r="BU221" s="214">
        <v>0</v>
      </c>
      <c r="BV221" s="259">
        <v>0</v>
      </c>
      <c r="BW221" s="214">
        <v>0</v>
      </c>
      <c r="BX221" s="214">
        <v>0</v>
      </c>
      <c r="BY221" s="214">
        <v>0</v>
      </c>
      <c r="BZ221" s="214">
        <v>0</v>
      </c>
      <c r="CA221" s="213">
        <v>0</v>
      </c>
      <c r="CB221" s="214">
        <v>0</v>
      </c>
      <c r="CC221" s="214">
        <v>0</v>
      </c>
      <c r="CD221" s="259">
        <v>0</v>
      </c>
      <c r="CE221" s="213">
        <v>0</v>
      </c>
      <c r="CF221" s="214">
        <v>0</v>
      </c>
      <c r="CG221" s="214">
        <v>0</v>
      </c>
      <c r="CH221" s="259">
        <v>0</v>
      </c>
      <c r="CI221" s="213">
        <v>0</v>
      </c>
      <c r="CJ221" s="214">
        <v>0</v>
      </c>
      <c r="CK221" s="214">
        <v>0</v>
      </c>
      <c r="CL221" s="259">
        <v>0</v>
      </c>
      <c r="CM221" s="213"/>
      <c r="CN221" s="214"/>
      <c r="CO221" s="214"/>
      <c r="CP221" s="259"/>
      <c r="CQ221" s="213"/>
      <c r="CR221" s="214"/>
      <c r="CS221" s="214"/>
      <c r="CT221" s="259"/>
      <c r="CU221" s="213"/>
      <c r="CV221" s="214"/>
      <c r="CW221" s="214"/>
      <c r="CX221" s="259"/>
    </row>
    <row r="222" spans="1:102" x14ac:dyDescent="0.25">
      <c r="A222" s="225"/>
      <c r="B222" s="227" t="s">
        <v>53</v>
      </c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10"/>
      <c r="AZ222" s="8"/>
      <c r="BA222" s="8"/>
      <c r="BB222" s="9"/>
      <c r="BC222" s="34"/>
      <c r="BD222" s="32"/>
      <c r="BE222" s="32"/>
      <c r="BF222" s="33"/>
      <c r="BG222" s="34"/>
      <c r="BH222" s="32"/>
      <c r="BI222" s="32"/>
      <c r="BJ222" s="32"/>
      <c r="BK222" s="213"/>
      <c r="BL222" s="214"/>
      <c r="BM222" s="214"/>
      <c r="BN222" s="259"/>
      <c r="BO222" s="213"/>
      <c r="BP222" s="214"/>
      <c r="BQ222" s="214">
        <v>94</v>
      </c>
      <c r="BR222" s="214">
        <v>107</v>
      </c>
      <c r="BS222" s="213">
        <v>104</v>
      </c>
      <c r="BT222" s="214">
        <v>106</v>
      </c>
      <c r="BU222" s="214">
        <v>101</v>
      </c>
      <c r="BV222" s="259">
        <v>104</v>
      </c>
      <c r="BW222" s="214">
        <v>108</v>
      </c>
      <c r="BX222" s="214">
        <v>106</v>
      </c>
      <c r="BY222" s="214">
        <v>108</v>
      </c>
      <c r="BZ222" s="214">
        <v>117</v>
      </c>
      <c r="CA222" s="213">
        <v>108</v>
      </c>
      <c r="CB222" s="214">
        <v>107</v>
      </c>
      <c r="CC222" s="214">
        <v>118</v>
      </c>
      <c r="CD222" s="259">
        <v>126</v>
      </c>
      <c r="CE222" s="213">
        <v>135</v>
      </c>
      <c r="CF222" s="214">
        <v>136</v>
      </c>
      <c r="CG222" s="214">
        <v>137</v>
      </c>
      <c r="CH222" s="259">
        <v>165</v>
      </c>
      <c r="CI222" s="213">
        <v>175</v>
      </c>
      <c r="CJ222" s="214">
        <v>200</v>
      </c>
      <c r="CK222" s="214">
        <v>198</v>
      </c>
      <c r="CL222" s="259">
        <v>193</v>
      </c>
      <c r="CM222" s="213">
        <v>198</v>
      </c>
      <c r="CN222" s="214">
        <v>191</v>
      </c>
      <c r="CO222" s="214">
        <v>184</v>
      </c>
      <c r="CP222" s="259">
        <v>175</v>
      </c>
      <c r="CQ222" s="213">
        <v>181</v>
      </c>
      <c r="CR222" s="214">
        <v>172</v>
      </c>
      <c r="CS222" s="214">
        <v>186</v>
      </c>
      <c r="CT222" s="259">
        <v>197</v>
      </c>
      <c r="CU222" s="213">
        <v>197</v>
      </c>
      <c r="CV222" s="214">
        <v>201</v>
      </c>
      <c r="CW222" s="214"/>
      <c r="CX222" s="259"/>
    </row>
    <row r="223" spans="1:102" x14ac:dyDescent="0.25">
      <c r="A223" s="306"/>
      <c r="B223" s="290" t="s">
        <v>54</v>
      </c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2"/>
      <c r="AZ223" s="63"/>
      <c r="BA223" s="63"/>
      <c r="BB223" s="64"/>
      <c r="BC223" s="65"/>
      <c r="BD223" s="66"/>
      <c r="BE223" s="66"/>
      <c r="BF223" s="67"/>
      <c r="BG223" s="65"/>
      <c r="BH223" s="66"/>
      <c r="BI223" s="66"/>
      <c r="BJ223" s="66"/>
      <c r="BK223" s="109"/>
      <c r="BL223" s="110"/>
      <c r="BM223" s="110"/>
      <c r="BN223" s="111"/>
      <c r="BO223" s="109"/>
      <c r="BP223" s="110"/>
      <c r="BQ223" s="110">
        <v>94</v>
      </c>
      <c r="BR223" s="110">
        <v>107</v>
      </c>
      <c r="BS223" s="109">
        <v>104</v>
      </c>
      <c r="BT223" s="110">
        <v>106</v>
      </c>
      <c r="BU223" s="110">
        <v>101</v>
      </c>
      <c r="BV223" s="111">
        <v>104</v>
      </c>
      <c r="BW223" s="110">
        <v>108</v>
      </c>
      <c r="BX223" s="110">
        <v>106</v>
      </c>
      <c r="BY223" s="110">
        <v>108</v>
      </c>
      <c r="BZ223" s="110">
        <v>117</v>
      </c>
      <c r="CA223" s="109">
        <v>108</v>
      </c>
      <c r="CB223" s="110">
        <v>107</v>
      </c>
      <c r="CC223" s="110">
        <v>118</v>
      </c>
      <c r="CD223" s="111">
        <v>126</v>
      </c>
      <c r="CE223" s="109">
        <f>+CE222</f>
        <v>135</v>
      </c>
      <c r="CF223" s="110">
        <f>+CF222</f>
        <v>136</v>
      </c>
      <c r="CG223" s="110">
        <v>137</v>
      </c>
      <c r="CH223" s="111">
        <v>165</v>
      </c>
      <c r="CI223" s="109">
        <f t="shared" ref="CI223:CP223" si="490">+CI222</f>
        <v>175</v>
      </c>
      <c r="CJ223" s="110">
        <f t="shared" si="490"/>
        <v>200</v>
      </c>
      <c r="CK223" s="110">
        <f t="shared" si="490"/>
        <v>198</v>
      </c>
      <c r="CL223" s="110">
        <f t="shared" si="490"/>
        <v>193</v>
      </c>
      <c r="CM223" s="109">
        <f t="shared" si="490"/>
        <v>198</v>
      </c>
      <c r="CN223" s="110">
        <f t="shared" si="490"/>
        <v>191</v>
      </c>
      <c r="CO223" s="110">
        <f t="shared" si="490"/>
        <v>184</v>
      </c>
      <c r="CP223" s="110">
        <f t="shared" si="490"/>
        <v>175</v>
      </c>
      <c r="CQ223" s="109">
        <f t="shared" ref="CQ223:CT223" si="491">+CQ222</f>
        <v>181</v>
      </c>
      <c r="CR223" s="110">
        <f t="shared" si="491"/>
        <v>172</v>
      </c>
      <c r="CS223" s="110">
        <f t="shared" si="491"/>
        <v>186</v>
      </c>
      <c r="CT223" s="111">
        <f t="shared" si="491"/>
        <v>197</v>
      </c>
      <c r="CU223" s="109">
        <f t="shared" ref="CU223:CX223" si="492">+CU222</f>
        <v>197</v>
      </c>
      <c r="CV223" s="110">
        <f t="shared" si="492"/>
        <v>201</v>
      </c>
      <c r="CW223" s="110">
        <f t="shared" si="492"/>
        <v>0</v>
      </c>
      <c r="CX223" s="111">
        <f t="shared" si="492"/>
        <v>0</v>
      </c>
    </row>
    <row r="224" spans="1:102" x14ac:dyDescent="0.25">
      <c r="A224" s="225"/>
      <c r="B224" s="292" t="s">
        <v>134</v>
      </c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Y224" s="22"/>
      <c r="BB224" s="23"/>
      <c r="BC224" s="49"/>
      <c r="BD224" s="50"/>
      <c r="BE224" s="50"/>
      <c r="BF224" s="51"/>
      <c r="BG224" s="49"/>
      <c r="BH224" s="50"/>
      <c r="BK224" s="225"/>
      <c r="BL224" s="208"/>
      <c r="BM224" s="208"/>
      <c r="BN224" s="227"/>
      <c r="BO224" s="288"/>
      <c r="BP224" s="208"/>
      <c r="BQ224" s="208"/>
      <c r="BR224" s="208"/>
      <c r="BS224" s="225"/>
      <c r="BT224" s="208"/>
      <c r="BU224" s="208"/>
      <c r="BV224" s="227"/>
      <c r="BW224" s="208"/>
      <c r="BX224" s="208"/>
      <c r="BY224" s="208"/>
      <c r="BZ224" s="208"/>
      <c r="CA224" s="225"/>
      <c r="CB224" s="208"/>
      <c r="CC224" s="208"/>
      <c r="CD224" s="227"/>
      <c r="CE224" s="225"/>
      <c r="CF224" s="208"/>
      <c r="CG224" s="208"/>
      <c r="CH224" s="227"/>
      <c r="CI224" s="225"/>
      <c r="CJ224" s="208"/>
      <c r="CK224" s="208"/>
      <c r="CL224" s="227"/>
      <c r="CM224" s="225"/>
      <c r="CN224" s="208"/>
      <c r="CO224" s="208"/>
      <c r="CP224" s="227"/>
      <c r="CQ224" s="225"/>
      <c r="CR224" s="208"/>
      <c r="CS224" s="208"/>
      <c r="CT224" s="227"/>
      <c r="CU224" s="225"/>
      <c r="CV224" s="208"/>
      <c r="CW224" s="208"/>
      <c r="CX224" s="227"/>
    </row>
    <row r="225" spans="1:102" x14ac:dyDescent="0.25">
      <c r="A225" s="225"/>
      <c r="B225" s="227" t="s">
        <v>59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3"/>
      <c r="N225" s="2"/>
      <c r="O225" s="2"/>
      <c r="P225" s="2"/>
      <c r="Q225" s="2"/>
      <c r="R225" s="2"/>
      <c r="S225" s="2"/>
      <c r="T225" s="4"/>
      <c r="U225" s="30"/>
      <c r="V225" s="30"/>
      <c r="W225" s="30"/>
      <c r="X225" s="30"/>
      <c r="Y225" s="30"/>
      <c r="Z225" s="30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4"/>
      <c r="AZ225" s="15"/>
      <c r="BA225" s="15"/>
      <c r="BB225" s="16"/>
      <c r="BC225" s="29"/>
      <c r="BD225" s="30"/>
      <c r="BE225" s="30"/>
      <c r="BF225" s="31"/>
      <c r="BG225" s="29"/>
      <c r="BH225" s="30"/>
      <c r="BI225" s="30"/>
      <c r="BJ225" s="30"/>
      <c r="BK225" s="210"/>
      <c r="BL225" s="221"/>
      <c r="BM225" s="221"/>
      <c r="BN225" s="222"/>
      <c r="BO225" s="289"/>
      <c r="BP225" s="221"/>
      <c r="BQ225" s="221">
        <v>0</v>
      </c>
      <c r="BR225" s="221">
        <v>0</v>
      </c>
      <c r="BS225" s="210">
        <v>0</v>
      </c>
      <c r="BT225" s="221">
        <v>0</v>
      </c>
      <c r="BU225" s="221">
        <v>0</v>
      </c>
      <c r="BV225" s="222">
        <v>0</v>
      </c>
      <c r="BW225" s="214">
        <v>0</v>
      </c>
      <c r="BX225" s="214">
        <v>0</v>
      </c>
      <c r="BY225" s="214">
        <v>0</v>
      </c>
      <c r="BZ225" s="214">
        <v>0</v>
      </c>
      <c r="CA225" s="213">
        <v>0</v>
      </c>
      <c r="CB225" s="214">
        <v>0</v>
      </c>
      <c r="CC225" s="214">
        <v>0</v>
      </c>
      <c r="CD225" s="259">
        <v>0</v>
      </c>
      <c r="CE225" s="213">
        <v>0</v>
      </c>
      <c r="CF225" s="214">
        <v>0</v>
      </c>
      <c r="CG225" s="214">
        <v>0</v>
      </c>
      <c r="CH225" s="259">
        <v>0</v>
      </c>
      <c r="CI225" s="213">
        <v>0</v>
      </c>
      <c r="CJ225" s="214">
        <v>0</v>
      </c>
      <c r="CK225" s="214">
        <v>0</v>
      </c>
      <c r="CL225" s="259">
        <v>0</v>
      </c>
      <c r="CM225" s="213"/>
      <c r="CN225" s="214"/>
      <c r="CO225" s="214"/>
      <c r="CP225" s="259"/>
      <c r="CQ225" s="213"/>
      <c r="CR225" s="214"/>
      <c r="CS225" s="214"/>
      <c r="CT225" s="259"/>
      <c r="CU225" s="213"/>
      <c r="CV225" s="214"/>
      <c r="CW225" s="214"/>
      <c r="CX225" s="259"/>
    </row>
    <row r="226" spans="1:102" x14ac:dyDescent="0.25">
      <c r="A226" s="225"/>
      <c r="B226" s="227" t="s">
        <v>61</v>
      </c>
      <c r="C226" s="5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4"/>
      <c r="AZ226" s="15"/>
      <c r="BA226" s="15"/>
      <c r="BB226" s="16"/>
      <c r="BC226" s="29"/>
      <c r="BD226" s="30"/>
      <c r="BE226" s="30"/>
      <c r="BF226" s="31"/>
      <c r="BG226" s="29"/>
      <c r="BH226" s="30"/>
      <c r="BI226" s="30"/>
      <c r="BJ226" s="30"/>
      <c r="BK226" s="210"/>
      <c r="BL226" s="221"/>
      <c r="BM226" s="221"/>
      <c r="BN226" s="222"/>
      <c r="BO226" s="210"/>
      <c r="BP226" s="221"/>
      <c r="BQ226" s="221">
        <v>4.5</v>
      </c>
      <c r="BR226" s="221">
        <v>9.8000000000000007</v>
      </c>
      <c r="BS226" s="210">
        <v>3</v>
      </c>
      <c r="BT226" s="221">
        <v>7.1</v>
      </c>
      <c r="BU226" s="221">
        <v>5.5</v>
      </c>
      <c r="BV226" s="222">
        <v>27.2</v>
      </c>
      <c r="BW226" s="214">
        <v>47</v>
      </c>
      <c r="BX226" s="214">
        <v>84</v>
      </c>
      <c r="BY226" s="214">
        <v>95</v>
      </c>
      <c r="BZ226" s="214">
        <v>68</v>
      </c>
      <c r="CA226" s="213">
        <v>78</v>
      </c>
      <c r="CB226" s="214">
        <v>107</v>
      </c>
      <c r="CC226" s="214">
        <v>75</v>
      </c>
      <c r="CD226" s="259">
        <v>70</v>
      </c>
      <c r="CE226" s="213">
        <v>80</v>
      </c>
      <c r="CF226" s="214">
        <v>330</v>
      </c>
      <c r="CG226" s="214">
        <v>113</v>
      </c>
      <c r="CH226" s="259">
        <v>123</v>
      </c>
      <c r="CI226" s="213">
        <v>115</v>
      </c>
      <c r="CJ226" s="214">
        <v>115</v>
      </c>
      <c r="CK226" s="214">
        <v>112</v>
      </c>
      <c r="CL226" s="259">
        <v>89</v>
      </c>
      <c r="CM226" s="213">
        <v>62</v>
      </c>
      <c r="CN226" s="214">
        <v>61</v>
      </c>
      <c r="CO226" s="214">
        <v>38</v>
      </c>
      <c r="CP226" s="259">
        <v>79</v>
      </c>
      <c r="CQ226" s="213">
        <v>62</v>
      </c>
      <c r="CR226" s="214">
        <v>121</v>
      </c>
      <c r="CS226" s="214">
        <v>51</v>
      </c>
      <c r="CT226" s="259">
        <v>68</v>
      </c>
      <c r="CU226" s="213">
        <v>62</v>
      </c>
      <c r="CV226" s="214">
        <v>98</v>
      </c>
      <c r="CW226" s="214"/>
      <c r="CX226" s="259"/>
    </row>
    <row r="227" spans="1:102" x14ac:dyDescent="0.25">
      <c r="A227" s="225"/>
      <c r="B227" s="227" t="s">
        <v>63</v>
      </c>
      <c r="C227" s="5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4"/>
      <c r="AZ227" s="15"/>
      <c r="BA227" s="15"/>
      <c r="BB227" s="16"/>
      <c r="BC227" s="29"/>
      <c r="BD227" s="30"/>
      <c r="BE227" s="30"/>
      <c r="BF227" s="31"/>
      <c r="BG227" s="29"/>
      <c r="BH227" s="30"/>
      <c r="BI227" s="30"/>
      <c r="BJ227" s="30"/>
      <c r="BK227" s="210"/>
      <c r="BL227" s="221"/>
      <c r="BM227" s="221"/>
      <c r="BN227" s="222"/>
      <c r="BO227" s="210"/>
      <c r="BP227" s="221"/>
      <c r="BQ227" s="221">
        <v>114.8</v>
      </c>
      <c r="BR227" s="221">
        <v>188.4</v>
      </c>
      <c r="BS227" s="210">
        <v>11.6</v>
      </c>
      <c r="BT227" s="221">
        <v>16.5</v>
      </c>
      <c r="BU227" s="221">
        <v>11.2</v>
      </c>
      <c r="BV227" s="222">
        <v>-0.3</v>
      </c>
      <c r="BW227" s="214">
        <v>3</v>
      </c>
      <c r="BX227" s="214">
        <v>5</v>
      </c>
      <c r="BY227" s="214">
        <v>25</v>
      </c>
      <c r="BZ227" s="214">
        <v>13</v>
      </c>
      <c r="CA227" s="213">
        <v>0</v>
      </c>
      <c r="CB227" s="214">
        <v>9</v>
      </c>
      <c r="CC227" s="214">
        <v>14</v>
      </c>
      <c r="CD227" s="259">
        <v>24</v>
      </c>
      <c r="CE227" s="213">
        <v>23</v>
      </c>
      <c r="CF227" s="214">
        <v>-17</v>
      </c>
      <c r="CG227" s="214">
        <v>53</v>
      </c>
      <c r="CH227" s="259">
        <v>65</v>
      </c>
      <c r="CI227" s="213">
        <v>160</v>
      </c>
      <c r="CJ227" s="214">
        <v>267</v>
      </c>
      <c r="CK227" s="214">
        <v>152</v>
      </c>
      <c r="CL227" s="259">
        <v>302</v>
      </c>
      <c r="CM227" s="213">
        <v>322</v>
      </c>
      <c r="CN227" s="214">
        <v>2013</v>
      </c>
      <c r="CO227" s="214">
        <v>276</v>
      </c>
      <c r="CP227" s="259">
        <v>521</v>
      </c>
      <c r="CQ227" s="213">
        <v>387</v>
      </c>
      <c r="CR227" s="214">
        <v>716</v>
      </c>
      <c r="CS227" s="214">
        <v>782</v>
      </c>
      <c r="CT227" s="259">
        <v>788</v>
      </c>
      <c r="CU227" s="213">
        <v>728</v>
      </c>
      <c r="CV227" s="214">
        <v>1125</v>
      </c>
      <c r="CW227" s="214"/>
      <c r="CX227" s="259"/>
    </row>
    <row r="228" spans="1:102" x14ac:dyDescent="0.25">
      <c r="A228" s="225"/>
      <c r="B228" s="227" t="s">
        <v>64</v>
      </c>
      <c r="C228" s="5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4"/>
      <c r="AZ228" s="15"/>
      <c r="BA228" s="15"/>
      <c r="BB228" s="16"/>
      <c r="BC228" s="29"/>
      <c r="BD228" s="30"/>
      <c r="BE228" s="30"/>
      <c r="BF228" s="31"/>
      <c r="BG228" s="29"/>
      <c r="BH228" s="30"/>
      <c r="BI228" s="30"/>
      <c r="BJ228" s="30"/>
      <c r="BK228" s="109"/>
      <c r="BL228" s="110"/>
      <c r="BM228" s="125"/>
      <c r="BN228" s="125"/>
      <c r="BO228" s="109"/>
      <c r="BP228" s="110"/>
      <c r="BQ228" s="125">
        <f t="shared" ref="BQ228:BV228" si="493">+BQ227+BQ226+BQ225</f>
        <v>119.3</v>
      </c>
      <c r="BR228" s="125">
        <f t="shared" si="493"/>
        <v>198.20000000000002</v>
      </c>
      <c r="BS228" s="124">
        <f t="shared" si="493"/>
        <v>14.6</v>
      </c>
      <c r="BT228" s="125">
        <f t="shared" si="493"/>
        <v>23.6</v>
      </c>
      <c r="BU228" s="125">
        <f t="shared" si="493"/>
        <v>16.7</v>
      </c>
      <c r="BV228" s="126">
        <f t="shared" si="493"/>
        <v>26.9</v>
      </c>
      <c r="BW228" s="420">
        <f t="shared" ref="BW228:BX228" si="494">+BW227+BW226+BW225</f>
        <v>50</v>
      </c>
      <c r="BX228" s="420">
        <f t="shared" si="494"/>
        <v>89</v>
      </c>
      <c r="BY228" s="420">
        <f t="shared" ref="BY228:BZ228" si="495">+BY227+BY226+BY225</f>
        <v>120</v>
      </c>
      <c r="BZ228" s="420">
        <f t="shared" si="495"/>
        <v>81</v>
      </c>
      <c r="CA228" s="421">
        <f t="shared" ref="CA228:CB228" si="496">+CA227+CA226+CA225</f>
        <v>78</v>
      </c>
      <c r="CB228" s="420">
        <f t="shared" si="496"/>
        <v>116</v>
      </c>
      <c r="CC228" s="420">
        <f t="shared" ref="CC228:CF228" si="497">+CC227+CC226+CC225</f>
        <v>89</v>
      </c>
      <c r="CD228" s="422">
        <f t="shared" si="497"/>
        <v>94</v>
      </c>
      <c r="CE228" s="421">
        <f t="shared" si="497"/>
        <v>103</v>
      </c>
      <c r="CF228" s="420">
        <f t="shared" si="497"/>
        <v>313</v>
      </c>
      <c r="CG228" s="420">
        <f t="shared" ref="CG228:CJ228" si="498">+CG227+CG226+CG225</f>
        <v>166</v>
      </c>
      <c r="CH228" s="422">
        <f t="shared" si="498"/>
        <v>188</v>
      </c>
      <c r="CI228" s="421">
        <f t="shared" si="498"/>
        <v>275</v>
      </c>
      <c r="CJ228" s="420">
        <f t="shared" si="498"/>
        <v>382</v>
      </c>
      <c r="CK228" s="420">
        <f t="shared" ref="CK228:CP228" si="499">+CK227+CK226+CK225</f>
        <v>264</v>
      </c>
      <c r="CL228" s="422">
        <f t="shared" si="499"/>
        <v>391</v>
      </c>
      <c r="CM228" s="421">
        <f t="shared" si="499"/>
        <v>384</v>
      </c>
      <c r="CN228" s="420">
        <f t="shared" si="499"/>
        <v>2074</v>
      </c>
      <c r="CO228" s="420">
        <f t="shared" si="499"/>
        <v>314</v>
      </c>
      <c r="CP228" s="422">
        <f t="shared" si="499"/>
        <v>600</v>
      </c>
      <c r="CQ228" s="421">
        <f t="shared" ref="CQ228:CT228" si="500">+CQ227+CQ226+CQ225</f>
        <v>449</v>
      </c>
      <c r="CR228" s="420">
        <f t="shared" si="500"/>
        <v>837</v>
      </c>
      <c r="CS228" s="420">
        <f t="shared" si="500"/>
        <v>833</v>
      </c>
      <c r="CT228" s="422">
        <f t="shared" si="500"/>
        <v>856</v>
      </c>
      <c r="CU228" s="421">
        <f t="shared" ref="CU228:CX228" si="501">+CU227+CU226+CU225</f>
        <v>790</v>
      </c>
      <c r="CV228" s="420">
        <f t="shared" si="501"/>
        <v>1223</v>
      </c>
      <c r="CW228" s="420">
        <f t="shared" si="501"/>
        <v>0</v>
      </c>
      <c r="CX228" s="422">
        <f t="shared" si="501"/>
        <v>0</v>
      </c>
    </row>
    <row r="229" spans="1:102" x14ac:dyDescent="0.25">
      <c r="A229" s="225"/>
      <c r="B229" s="227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Y229" s="22"/>
      <c r="BB229" s="23"/>
      <c r="BC229" s="49"/>
      <c r="BD229" s="50"/>
      <c r="BE229" s="50"/>
      <c r="BF229" s="51"/>
      <c r="BG229" s="49"/>
      <c r="BH229" s="50"/>
      <c r="BK229" s="225"/>
      <c r="BL229" s="208"/>
      <c r="BM229" s="208"/>
      <c r="BN229" s="227"/>
      <c r="BO229" s="288"/>
      <c r="BP229" s="208"/>
      <c r="BQ229" s="208"/>
      <c r="BR229" s="208"/>
      <c r="BS229" s="225"/>
      <c r="BT229" s="208"/>
      <c r="BU229" s="208"/>
      <c r="BV229" s="227"/>
      <c r="BW229" s="208"/>
      <c r="BX229" s="208"/>
      <c r="BY229" s="208"/>
      <c r="BZ229" s="208"/>
      <c r="CA229" s="225"/>
      <c r="CB229" s="208"/>
      <c r="CC229" s="208"/>
      <c r="CD229" s="227"/>
      <c r="CE229" s="225"/>
      <c r="CF229" s="208"/>
      <c r="CG229" s="208"/>
      <c r="CH229" s="227"/>
      <c r="CI229" s="225"/>
      <c r="CJ229" s="208"/>
      <c r="CK229" s="208"/>
      <c r="CL229" s="227"/>
      <c r="CM229" s="225"/>
      <c r="CN229" s="208"/>
      <c r="CO229" s="208"/>
      <c r="CP229" s="227"/>
      <c r="CQ229" s="225"/>
      <c r="CR229" s="208"/>
      <c r="CS229" s="208"/>
      <c r="CT229" s="227"/>
      <c r="CU229" s="225"/>
      <c r="CV229" s="208"/>
      <c r="CW229" s="208"/>
      <c r="CX229" s="227"/>
    </row>
    <row r="230" spans="1:102" x14ac:dyDescent="0.25">
      <c r="A230" s="225"/>
      <c r="B230" s="292" t="s">
        <v>135</v>
      </c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10"/>
      <c r="AZ230" s="8"/>
      <c r="BA230" s="8"/>
      <c r="BB230" s="9"/>
      <c r="BC230" s="34"/>
      <c r="BD230" s="32"/>
      <c r="BE230" s="32"/>
      <c r="BF230" s="33"/>
      <c r="BG230" s="34"/>
      <c r="BH230" s="32"/>
      <c r="BK230" s="225"/>
      <c r="BL230" s="208"/>
      <c r="BM230" s="208"/>
      <c r="BN230" s="227"/>
      <c r="BO230" s="288"/>
      <c r="BP230" s="208"/>
      <c r="BQ230" s="208"/>
      <c r="BR230" s="208"/>
      <c r="BS230" s="225"/>
      <c r="BT230" s="208"/>
      <c r="BU230" s="208"/>
      <c r="BV230" s="227"/>
      <c r="BW230" s="208"/>
      <c r="BX230" s="208"/>
      <c r="BY230" s="208"/>
      <c r="BZ230" s="208"/>
      <c r="CA230" s="225"/>
      <c r="CB230" s="208"/>
      <c r="CC230" s="208"/>
      <c r="CD230" s="227"/>
      <c r="CE230" s="225"/>
      <c r="CF230" s="208"/>
      <c r="CG230" s="208"/>
      <c r="CH230" s="227"/>
      <c r="CI230" s="225"/>
      <c r="CJ230" s="208"/>
      <c r="CK230" s="208"/>
      <c r="CL230" s="227"/>
      <c r="CM230" s="225"/>
      <c r="CN230" s="208"/>
      <c r="CO230" s="208"/>
      <c r="CP230" s="227"/>
      <c r="CQ230" s="225"/>
      <c r="CR230" s="208"/>
      <c r="CS230" s="208"/>
      <c r="CT230" s="227"/>
      <c r="CU230" s="225"/>
      <c r="CV230" s="208"/>
      <c r="CW230" s="208"/>
      <c r="CX230" s="227"/>
    </row>
    <row r="231" spans="1:102" x14ac:dyDescent="0.25">
      <c r="A231" s="225"/>
      <c r="B231" s="250" t="s">
        <v>66</v>
      </c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4"/>
      <c r="AZ231" s="15"/>
      <c r="BA231" s="15"/>
      <c r="BB231" s="16"/>
      <c r="BC231" s="29"/>
      <c r="BD231" s="30"/>
      <c r="BE231" s="30"/>
      <c r="BF231" s="31"/>
      <c r="BG231" s="29"/>
      <c r="BH231" s="30"/>
      <c r="BI231" s="30"/>
      <c r="BJ231" s="30"/>
      <c r="BK231" s="210"/>
      <c r="BL231" s="221"/>
      <c r="BM231" s="221"/>
      <c r="BN231" s="222"/>
      <c r="BO231" s="210"/>
      <c r="BP231" s="221"/>
      <c r="BQ231" s="221">
        <v>405.4</v>
      </c>
      <c r="BR231" s="221">
        <v>642.20000000000005</v>
      </c>
      <c r="BS231" s="210">
        <v>658.1</v>
      </c>
      <c r="BT231" s="221">
        <f>851.6-0.1</f>
        <v>851.5</v>
      </c>
      <c r="BU231" s="221">
        <v>1053.2</v>
      </c>
      <c r="BV231" s="222">
        <v>1058.2</v>
      </c>
      <c r="BW231" s="213">
        <v>1150</v>
      </c>
      <c r="BX231" s="214">
        <v>924</v>
      </c>
      <c r="BY231" s="214">
        <v>1570</v>
      </c>
      <c r="BZ231" s="214">
        <v>1408</v>
      </c>
      <c r="CA231" s="213">
        <v>1170</v>
      </c>
      <c r="CB231" s="214">
        <v>1122</v>
      </c>
      <c r="CC231" s="214">
        <v>1202</v>
      </c>
      <c r="CD231" s="259">
        <v>1297</v>
      </c>
      <c r="CE231" s="213">
        <v>1262</v>
      </c>
      <c r="CF231" s="214">
        <v>1358</v>
      </c>
      <c r="CG231" s="214">
        <v>1364</v>
      </c>
      <c r="CH231" s="259">
        <v>1290</v>
      </c>
      <c r="CI231" s="213">
        <v>1392</v>
      </c>
      <c r="CJ231" s="214">
        <v>1450</v>
      </c>
      <c r="CK231" s="214">
        <v>1463</v>
      </c>
      <c r="CL231" s="259">
        <v>1511</v>
      </c>
      <c r="CM231" s="213">
        <v>1535</v>
      </c>
      <c r="CN231" s="214">
        <v>1731</v>
      </c>
      <c r="CO231" s="214">
        <v>1845</v>
      </c>
      <c r="CP231" s="259">
        <v>1958</v>
      </c>
      <c r="CQ231" s="213">
        <v>1873</v>
      </c>
      <c r="CR231" s="214">
        <v>2203</v>
      </c>
      <c r="CS231" s="214">
        <v>2255</v>
      </c>
      <c r="CT231" s="259">
        <v>2798</v>
      </c>
      <c r="CU231" s="213">
        <v>2963</v>
      </c>
      <c r="CV231" s="214">
        <v>3143</v>
      </c>
      <c r="CW231" s="214"/>
      <c r="CX231" s="259"/>
    </row>
    <row r="232" spans="1:102" x14ac:dyDescent="0.25">
      <c r="A232" s="225"/>
      <c r="B232" s="250" t="s">
        <v>132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17"/>
      <c r="AZ232" s="6"/>
      <c r="BA232" s="6"/>
      <c r="BB232" s="18"/>
      <c r="BC232" s="38"/>
      <c r="BD232" s="5"/>
      <c r="BE232" s="5"/>
      <c r="BF232" s="39"/>
      <c r="BG232" s="38"/>
      <c r="BH232" s="5"/>
      <c r="BI232" s="5"/>
      <c r="BJ232" s="5"/>
      <c r="BK232" s="276"/>
      <c r="BL232" s="244"/>
      <c r="BM232" s="244"/>
      <c r="BN232" s="315"/>
      <c r="BO232" s="276"/>
      <c r="BP232" s="244"/>
      <c r="BQ232" s="244">
        <v>-406.2</v>
      </c>
      <c r="BR232" s="244">
        <v>-613.9</v>
      </c>
      <c r="BS232" s="276">
        <v>-591.9</v>
      </c>
      <c r="BT232" s="244">
        <v>-700.4</v>
      </c>
      <c r="BU232" s="244">
        <v>-721.6</v>
      </c>
      <c r="BV232" s="315">
        <v>-722.4</v>
      </c>
      <c r="BW232" s="361">
        <v>-759</v>
      </c>
      <c r="BX232" s="417">
        <v>-537</v>
      </c>
      <c r="BY232" s="417">
        <v>-795</v>
      </c>
      <c r="BZ232" s="417">
        <v>-831</v>
      </c>
      <c r="CA232" s="361">
        <v>-792</v>
      </c>
      <c r="CB232" s="417">
        <v>-803</v>
      </c>
      <c r="CC232" s="417">
        <v>-838</v>
      </c>
      <c r="CD232" s="431">
        <v>-914</v>
      </c>
      <c r="CE232" s="361">
        <v>-887</v>
      </c>
      <c r="CF232" s="417">
        <v>-955</v>
      </c>
      <c r="CG232" s="417">
        <v>-974</v>
      </c>
      <c r="CH232" s="431">
        <v>-964</v>
      </c>
      <c r="CI232" s="361">
        <v>-898</v>
      </c>
      <c r="CJ232" s="417">
        <v>-990</v>
      </c>
      <c r="CK232" s="417">
        <v>-1090</v>
      </c>
      <c r="CL232" s="431">
        <v>-1062</v>
      </c>
      <c r="CM232" s="361">
        <v>-1038</v>
      </c>
      <c r="CN232" s="417">
        <v>-1122</v>
      </c>
      <c r="CO232" s="417">
        <v>-1158</v>
      </c>
      <c r="CP232" s="431">
        <v>-1166</v>
      </c>
      <c r="CQ232" s="361">
        <v>-1108</v>
      </c>
      <c r="CR232" s="417">
        <v>-1109</v>
      </c>
      <c r="CS232" s="417">
        <v>-1153</v>
      </c>
      <c r="CT232" s="431">
        <v>-1278</v>
      </c>
      <c r="CU232" s="361">
        <v>-1153</v>
      </c>
      <c r="CV232" s="417">
        <v>-1309</v>
      </c>
      <c r="CW232" s="417"/>
      <c r="CX232" s="431"/>
    </row>
    <row r="233" spans="1:102" x14ac:dyDescent="0.25">
      <c r="A233" s="225"/>
      <c r="B233" s="25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4"/>
      <c r="AZ233" s="15"/>
      <c r="BA233" s="15"/>
      <c r="BB233" s="16"/>
      <c r="BC233" s="29"/>
      <c r="BD233" s="30"/>
      <c r="BE233" s="30"/>
      <c r="BF233" s="31"/>
      <c r="BG233" s="29"/>
      <c r="BH233" s="30"/>
      <c r="BI233" s="30"/>
      <c r="BJ233" s="30"/>
      <c r="BK233" s="210"/>
      <c r="BL233" s="221"/>
      <c r="BM233" s="221"/>
      <c r="BN233" s="222"/>
      <c r="BO233" s="210"/>
      <c r="BP233" s="221"/>
      <c r="BQ233" s="221">
        <f t="shared" ref="BQ233:BV233" si="502">+BQ232+BQ231</f>
        <v>-0.80000000000001137</v>
      </c>
      <c r="BR233" s="221">
        <f t="shared" si="502"/>
        <v>28.300000000000068</v>
      </c>
      <c r="BS233" s="210">
        <f t="shared" si="502"/>
        <v>66.200000000000045</v>
      </c>
      <c r="BT233" s="221">
        <f t="shared" si="502"/>
        <v>151.10000000000002</v>
      </c>
      <c r="BU233" s="221">
        <f t="shared" si="502"/>
        <v>331.6</v>
      </c>
      <c r="BV233" s="222">
        <f t="shared" si="502"/>
        <v>335.80000000000007</v>
      </c>
      <c r="BW233" s="213">
        <f t="shared" ref="BW233:BX233" si="503">+BW232+BW231</f>
        <v>391</v>
      </c>
      <c r="BX233" s="214">
        <f t="shared" si="503"/>
        <v>387</v>
      </c>
      <c r="BY233" s="214">
        <f t="shared" ref="BY233:BZ233" si="504">+BY232+BY231</f>
        <v>775</v>
      </c>
      <c r="BZ233" s="214">
        <f t="shared" si="504"/>
        <v>577</v>
      </c>
      <c r="CA233" s="213">
        <f t="shared" ref="CA233:CB233" si="505">+CA232+CA231</f>
        <v>378</v>
      </c>
      <c r="CB233" s="214">
        <f t="shared" si="505"/>
        <v>319</v>
      </c>
      <c r="CC233" s="214">
        <f t="shared" ref="CC233:CF233" si="506">+CC232+CC231</f>
        <v>364</v>
      </c>
      <c r="CD233" s="259">
        <f t="shared" si="506"/>
        <v>383</v>
      </c>
      <c r="CE233" s="213">
        <f t="shared" si="506"/>
        <v>375</v>
      </c>
      <c r="CF233" s="214">
        <f t="shared" si="506"/>
        <v>403</v>
      </c>
      <c r="CG233" s="214">
        <f t="shared" ref="CG233:CJ233" si="507">+CG232+CG231</f>
        <v>390</v>
      </c>
      <c r="CH233" s="259">
        <f t="shared" si="507"/>
        <v>326</v>
      </c>
      <c r="CI233" s="213">
        <f t="shared" si="507"/>
        <v>494</v>
      </c>
      <c r="CJ233" s="214">
        <f t="shared" si="507"/>
        <v>460</v>
      </c>
      <c r="CK233" s="214">
        <f t="shared" ref="CK233:CP233" si="508">+CK232+CK231</f>
        <v>373</v>
      </c>
      <c r="CL233" s="259">
        <f t="shared" si="508"/>
        <v>449</v>
      </c>
      <c r="CM233" s="213">
        <f t="shared" si="508"/>
        <v>497</v>
      </c>
      <c r="CN233" s="214">
        <f t="shared" si="508"/>
        <v>609</v>
      </c>
      <c r="CO233" s="214">
        <f t="shared" si="508"/>
        <v>687</v>
      </c>
      <c r="CP233" s="259">
        <f t="shared" si="508"/>
        <v>792</v>
      </c>
      <c r="CQ233" s="213">
        <f t="shared" ref="CQ233:CT233" si="509">+CQ232+CQ231</f>
        <v>765</v>
      </c>
      <c r="CR233" s="214">
        <f t="shared" si="509"/>
        <v>1094</v>
      </c>
      <c r="CS233" s="214">
        <f t="shared" si="509"/>
        <v>1102</v>
      </c>
      <c r="CT233" s="259">
        <f t="shared" si="509"/>
        <v>1520</v>
      </c>
      <c r="CU233" s="213">
        <f t="shared" ref="CU233:CX233" si="510">+CU232+CU231</f>
        <v>1810</v>
      </c>
      <c r="CV233" s="214">
        <f t="shared" si="510"/>
        <v>1834</v>
      </c>
      <c r="CW233" s="214">
        <f t="shared" si="510"/>
        <v>0</v>
      </c>
      <c r="CX233" s="259">
        <f t="shared" si="510"/>
        <v>0</v>
      </c>
    </row>
    <row r="234" spans="1:102" x14ac:dyDescent="0.25">
      <c r="A234" s="225"/>
      <c r="B234" s="250" t="s">
        <v>67</v>
      </c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4"/>
      <c r="AZ234" s="15"/>
      <c r="BA234" s="15"/>
      <c r="BB234" s="16"/>
      <c r="BC234" s="29"/>
      <c r="BD234" s="30"/>
      <c r="BE234" s="30"/>
      <c r="BF234" s="31"/>
      <c r="BG234" s="29"/>
      <c r="BH234" s="30"/>
      <c r="BI234" s="30"/>
      <c r="BJ234" s="30"/>
      <c r="BK234" s="210"/>
      <c r="BL234" s="221"/>
      <c r="BM234" s="221"/>
      <c r="BN234" s="222"/>
      <c r="BO234" s="210"/>
      <c r="BP234" s="221"/>
      <c r="BQ234" s="221">
        <v>0</v>
      </c>
      <c r="BR234" s="221">
        <v>-57.9</v>
      </c>
      <c r="BS234" s="210">
        <v>-35.200000000000003</v>
      </c>
      <c r="BT234" s="221">
        <v>-52.7</v>
      </c>
      <c r="BU234" s="221">
        <v>-44.5</v>
      </c>
      <c r="BV234" s="222">
        <v>-39.700000000000003</v>
      </c>
      <c r="BW234" s="213">
        <v>-47</v>
      </c>
      <c r="BX234" s="214">
        <v>-61</v>
      </c>
      <c r="BY234" s="214">
        <v>-46</v>
      </c>
      <c r="BZ234" s="214">
        <v>-49</v>
      </c>
      <c r="CA234" s="213">
        <v>-45</v>
      </c>
      <c r="CB234" s="214">
        <v>-45</v>
      </c>
      <c r="CC234" s="214">
        <v>-48</v>
      </c>
      <c r="CD234" s="259">
        <v>-50</v>
      </c>
      <c r="CE234" s="213">
        <v>-49</v>
      </c>
      <c r="CF234" s="214">
        <v>-49</v>
      </c>
      <c r="CG234" s="214">
        <v>-41</v>
      </c>
      <c r="CH234" s="259">
        <v>-38</v>
      </c>
      <c r="CI234" s="213">
        <v>-37</v>
      </c>
      <c r="CJ234" s="214">
        <v>-46</v>
      </c>
      <c r="CK234" s="214">
        <v>-57</v>
      </c>
      <c r="CL234" s="259">
        <v>-54</v>
      </c>
      <c r="CM234" s="213">
        <v>-59</v>
      </c>
      <c r="CN234" s="214">
        <v>-38</v>
      </c>
      <c r="CO234" s="214">
        <v>-101</v>
      </c>
      <c r="CP234" s="259">
        <v>-113</v>
      </c>
      <c r="CQ234" s="213">
        <v>-126</v>
      </c>
      <c r="CR234" s="214">
        <v>-60</v>
      </c>
      <c r="CS234" s="214">
        <v>-108</v>
      </c>
      <c r="CT234" s="259">
        <v>-98</v>
      </c>
      <c r="CU234" s="213">
        <v>-113</v>
      </c>
      <c r="CV234" s="214">
        <v>-97</v>
      </c>
      <c r="CW234" s="214"/>
      <c r="CX234" s="259"/>
    </row>
    <row r="235" spans="1:102" x14ac:dyDescent="0.25">
      <c r="A235" s="225"/>
      <c r="B235" s="250" t="s">
        <v>68</v>
      </c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4"/>
      <c r="AZ235" s="15"/>
      <c r="BA235" s="15"/>
      <c r="BB235" s="16"/>
      <c r="BC235" s="29"/>
      <c r="BD235" s="30"/>
      <c r="BE235" s="30"/>
      <c r="BF235" s="31"/>
      <c r="BG235" s="29"/>
      <c r="BH235" s="30"/>
      <c r="BI235" s="30"/>
      <c r="BJ235" s="30"/>
      <c r="BK235" s="210"/>
      <c r="BL235" s="221"/>
      <c r="BM235" s="221"/>
      <c r="BN235" s="222"/>
      <c r="BO235" s="210"/>
      <c r="BP235" s="321"/>
      <c r="BQ235" s="321">
        <v>-413.5</v>
      </c>
      <c r="BR235" s="221">
        <v>-11.4</v>
      </c>
      <c r="BS235" s="210">
        <f>-7.7+6.5</f>
        <v>-1.2000000000000002</v>
      </c>
      <c r="BT235" s="221">
        <f>39-0.1</f>
        <v>38.9</v>
      </c>
      <c r="BU235" s="221">
        <f>-6-38.7+0.2</f>
        <v>-44.5</v>
      </c>
      <c r="BV235" s="222">
        <f>-6.5-4.1</f>
        <v>-10.6</v>
      </c>
      <c r="BW235" s="213">
        <v>-13</v>
      </c>
      <c r="BX235" s="214">
        <v>-128</v>
      </c>
      <c r="BY235" s="214">
        <v>55</v>
      </c>
      <c r="BZ235" s="214">
        <v>51</v>
      </c>
      <c r="CA235" s="213">
        <v>11</v>
      </c>
      <c r="CB235" s="214">
        <v>52</v>
      </c>
      <c r="CC235" s="214">
        <v>11</v>
      </c>
      <c r="CD235" s="259">
        <v>51</v>
      </c>
      <c r="CE235" s="213">
        <v>7</v>
      </c>
      <c r="CF235" s="214">
        <v>136</v>
      </c>
      <c r="CG235" s="214">
        <v>28</v>
      </c>
      <c r="CH235" s="259">
        <v>73</v>
      </c>
      <c r="CI235" s="213">
        <v>41</v>
      </c>
      <c r="CJ235" s="214">
        <v>88</v>
      </c>
      <c r="CK235" s="214">
        <v>37</v>
      </c>
      <c r="CL235" s="259">
        <v>60</v>
      </c>
      <c r="CM235" s="213">
        <v>34</v>
      </c>
      <c r="CN235" s="214">
        <v>28</v>
      </c>
      <c r="CO235" s="214">
        <v>10</v>
      </c>
      <c r="CP235" s="259">
        <v>58</v>
      </c>
      <c r="CQ235" s="213">
        <v>5</v>
      </c>
      <c r="CR235" s="214">
        <v>115</v>
      </c>
      <c r="CS235" s="214">
        <v>21</v>
      </c>
      <c r="CT235" s="259">
        <v>15</v>
      </c>
      <c r="CU235" s="213">
        <v>30</v>
      </c>
      <c r="CV235" s="214">
        <v>29</v>
      </c>
      <c r="CW235" s="214"/>
      <c r="CX235" s="259"/>
    </row>
    <row r="236" spans="1:102" x14ac:dyDescent="0.25">
      <c r="A236" s="225"/>
      <c r="B236" s="250" t="s">
        <v>178</v>
      </c>
      <c r="C236" s="169"/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9"/>
      <c r="V236" s="169"/>
      <c r="W236" s="169"/>
      <c r="X236" s="169"/>
      <c r="Y236" s="169"/>
      <c r="Z236" s="169"/>
      <c r="AA236" s="170"/>
      <c r="AB236" s="170"/>
      <c r="AC236" s="170"/>
      <c r="AD236" s="170"/>
      <c r="AE236" s="170"/>
      <c r="AF236" s="170"/>
      <c r="AG236" s="170"/>
      <c r="AH236" s="170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4"/>
      <c r="AZ236" s="15"/>
      <c r="BA236" s="15"/>
      <c r="BB236" s="16"/>
      <c r="BC236" s="29"/>
      <c r="BD236" s="30"/>
      <c r="BE236" s="30"/>
      <c r="BF236" s="31"/>
      <c r="BG236" s="29"/>
      <c r="BH236" s="30"/>
      <c r="BI236" s="30"/>
      <c r="BJ236" s="30"/>
      <c r="BK236" s="210"/>
      <c r="BL236" s="221"/>
      <c r="BM236" s="221"/>
      <c r="BN236" s="222"/>
      <c r="BO236" s="210"/>
      <c r="BP236" s="221"/>
      <c r="BQ236" s="221">
        <v>0</v>
      </c>
      <c r="BR236" s="221">
        <v>0</v>
      </c>
      <c r="BS236" s="210">
        <v>0</v>
      </c>
      <c r="BT236" s="221">
        <v>0</v>
      </c>
      <c r="BU236" s="221">
        <v>0</v>
      </c>
      <c r="BV236" s="222">
        <v>0</v>
      </c>
      <c r="BW236" s="213">
        <v>0</v>
      </c>
      <c r="BX236" s="214">
        <v>0</v>
      </c>
      <c r="BY236" s="214">
        <v>0</v>
      </c>
      <c r="BZ236" s="214">
        <v>0</v>
      </c>
      <c r="CA236" s="213">
        <v>0</v>
      </c>
      <c r="CB236" s="214">
        <v>0</v>
      </c>
      <c r="CC236" s="214">
        <v>0</v>
      </c>
      <c r="CD236" s="259">
        <v>0</v>
      </c>
      <c r="CE236" s="213">
        <v>0</v>
      </c>
      <c r="CF236" s="214">
        <v>0</v>
      </c>
      <c r="CG236" s="214">
        <v>0</v>
      </c>
      <c r="CH236" s="259">
        <v>0</v>
      </c>
      <c r="CI236" s="213">
        <v>0</v>
      </c>
      <c r="CJ236" s="214">
        <v>0</v>
      </c>
      <c r="CK236" s="214">
        <v>0</v>
      </c>
      <c r="CL236" s="259">
        <v>0</v>
      </c>
      <c r="CM236" s="693">
        <v>0</v>
      </c>
      <c r="CN236" s="681">
        <v>0</v>
      </c>
      <c r="CO236" s="681">
        <v>0</v>
      </c>
      <c r="CP236" s="682">
        <v>0</v>
      </c>
      <c r="CQ236" s="693">
        <v>0</v>
      </c>
      <c r="CR236" s="681">
        <v>0</v>
      </c>
      <c r="CS236" s="681">
        <v>0</v>
      </c>
      <c r="CT236" s="682">
        <v>0</v>
      </c>
      <c r="CU236" s="693">
        <v>0</v>
      </c>
      <c r="CV236" s="681">
        <v>0</v>
      </c>
      <c r="CW236" s="681"/>
      <c r="CX236" s="682"/>
    </row>
    <row r="237" spans="1:102" x14ac:dyDescent="0.25">
      <c r="A237" s="225"/>
      <c r="B237" s="250" t="s">
        <v>69</v>
      </c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4"/>
      <c r="AZ237" s="15"/>
      <c r="BA237" s="15"/>
      <c r="BB237" s="16"/>
      <c r="BC237" s="29"/>
      <c r="BD237" s="30"/>
      <c r="BE237" s="30"/>
      <c r="BF237" s="31"/>
      <c r="BG237" s="29"/>
      <c r="BH237" s="30"/>
      <c r="BI237" s="30"/>
      <c r="BJ237" s="30"/>
      <c r="BK237" s="210"/>
      <c r="BL237" s="221"/>
      <c r="BM237" s="221"/>
      <c r="BN237" s="222"/>
      <c r="BO237" s="210"/>
      <c r="BP237" s="221"/>
      <c r="BQ237" s="221">
        <v>-139.4</v>
      </c>
      <c r="BR237" s="221">
        <v>4.4000000000000004</v>
      </c>
      <c r="BS237" s="210">
        <v>-21.5</v>
      </c>
      <c r="BT237" s="221">
        <f>5.9-0.1</f>
        <v>5.8000000000000007</v>
      </c>
      <c r="BU237" s="221">
        <v>-95.5</v>
      </c>
      <c r="BV237" s="222">
        <v>-87.8</v>
      </c>
      <c r="BW237" s="213">
        <v>-99</v>
      </c>
      <c r="BX237" s="214">
        <v>-101</v>
      </c>
      <c r="BY237" s="214">
        <v>-234</v>
      </c>
      <c r="BZ237" s="214">
        <v>-154</v>
      </c>
      <c r="CA237" s="213">
        <v>-82</v>
      </c>
      <c r="CB237" s="214">
        <v>-73</v>
      </c>
      <c r="CC237" s="214">
        <v>-94</v>
      </c>
      <c r="CD237" s="259">
        <v>-91</v>
      </c>
      <c r="CE237" s="213">
        <v>-94</v>
      </c>
      <c r="CF237" s="214">
        <v>-72</v>
      </c>
      <c r="CG237" s="214">
        <v>-121</v>
      </c>
      <c r="CH237" s="259">
        <v>-65</v>
      </c>
      <c r="CI237" s="213">
        <v>-4</v>
      </c>
      <c r="CJ237" s="214">
        <v>-236</v>
      </c>
      <c r="CK237" s="214">
        <v>-85</v>
      </c>
      <c r="CL237" s="259">
        <v>-108</v>
      </c>
      <c r="CM237" s="213">
        <v>-133</v>
      </c>
      <c r="CN237" s="214">
        <v>-172</v>
      </c>
      <c r="CO237" s="214">
        <v>-125</v>
      </c>
      <c r="CP237" s="259">
        <v>-219</v>
      </c>
      <c r="CQ237" s="213">
        <v>-172</v>
      </c>
      <c r="CR237" s="214">
        <v>-325</v>
      </c>
      <c r="CS237" s="214">
        <v>-266</v>
      </c>
      <c r="CT237" s="259">
        <v>-234</v>
      </c>
      <c r="CU237" s="213">
        <v>-435</v>
      </c>
      <c r="CV237" s="214">
        <v>-717</v>
      </c>
      <c r="CW237" s="214"/>
      <c r="CX237" s="259"/>
    </row>
    <row r="238" spans="1:102" ht="15.75" thickBot="1" x14ac:dyDescent="0.3">
      <c r="A238" s="306"/>
      <c r="B238" s="303" t="s">
        <v>70</v>
      </c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81"/>
      <c r="AO238" s="81"/>
      <c r="AP238" s="81"/>
      <c r="AQ238" s="81"/>
      <c r="AR238" s="81"/>
      <c r="AS238" s="81"/>
      <c r="AT238" s="81"/>
      <c r="AU238" s="81"/>
      <c r="AV238" s="81"/>
      <c r="AW238" s="81"/>
      <c r="AX238" s="81"/>
      <c r="AY238" s="82"/>
      <c r="AZ238" s="81"/>
      <c r="BA238" s="81"/>
      <c r="BB238" s="83"/>
      <c r="BC238" s="84"/>
      <c r="BD238" s="80"/>
      <c r="BE238" s="80"/>
      <c r="BF238" s="85"/>
      <c r="BG238" s="84"/>
      <c r="BH238" s="85"/>
      <c r="BI238" s="85"/>
      <c r="BJ238" s="80"/>
      <c r="BK238" s="119"/>
      <c r="BL238" s="119"/>
      <c r="BM238" s="119"/>
      <c r="BN238" s="119"/>
      <c r="BO238" s="118">
        <f t="shared" ref="BO238:BV238" si="511">SUM(BO233:BO237)</f>
        <v>0</v>
      </c>
      <c r="BP238" s="119">
        <f t="shared" si="511"/>
        <v>0</v>
      </c>
      <c r="BQ238" s="119">
        <f t="shared" si="511"/>
        <v>-553.70000000000005</v>
      </c>
      <c r="BR238" s="119">
        <f t="shared" si="511"/>
        <v>-36.59999999999993</v>
      </c>
      <c r="BS238" s="118">
        <f t="shared" si="511"/>
        <v>8.3000000000000433</v>
      </c>
      <c r="BT238" s="119">
        <f t="shared" si="511"/>
        <v>143.10000000000002</v>
      </c>
      <c r="BU238" s="119">
        <f t="shared" si="511"/>
        <v>147.10000000000002</v>
      </c>
      <c r="BV238" s="120">
        <f t="shared" si="511"/>
        <v>197.70000000000005</v>
      </c>
      <c r="BW238" s="419">
        <f t="shared" ref="BW238:BX238" si="512">SUM(BW233:BW237)</f>
        <v>232</v>
      </c>
      <c r="BX238" s="418">
        <f t="shared" si="512"/>
        <v>97</v>
      </c>
      <c r="BY238" s="418">
        <f t="shared" ref="BY238:BZ238" si="513">SUM(BY233:BY237)</f>
        <v>550</v>
      </c>
      <c r="BZ238" s="418">
        <f t="shared" si="513"/>
        <v>425</v>
      </c>
      <c r="CA238" s="419">
        <f t="shared" ref="CA238:CB238" si="514">SUM(CA233:CA237)</f>
        <v>262</v>
      </c>
      <c r="CB238" s="418">
        <f t="shared" si="514"/>
        <v>253</v>
      </c>
      <c r="CC238" s="418">
        <f t="shared" ref="CC238:CF238" si="515">SUM(CC233:CC237)</f>
        <v>233</v>
      </c>
      <c r="CD238" s="465">
        <f t="shared" si="515"/>
        <v>293</v>
      </c>
      <c r="CE238" s="419">
        <f t="shared" si="515"/>
        <v>239</v>
      </c>
      <c r="CF238" s="418">
        <f t="shared" si="515"/>
        <v>418</v>
      </c>
      <c r="CG238" s="418">
        <f t="shared" ref="CG238:CJ238" si="516">SUM(CG233:CG237)</f>
        <v>256</v>
      </c>
      <c r="CH238" s="465">
        <f t="shared" si="516"/>
        <v>296</v>
      </c>
      <c r="CI238" s="419">
        <f t="shared" si="516"/>
        <v>494</v>
      </c>
      <c r="CJ238" s="418">
        <f t="shared" si="516"/>
        <v>266</v>
      </c>
      <c r="CK238" s="418">
        <f t="shared" ref="CK238:CP238" si="517">SUM(CK233:CK237)</f>
        <v>268</v>
      </c>
      <c r="CL238" s="465">
        <f t="shared" si="517"/>
        <v>347</v>
      </c>
      <c r="CM238" s="419">
        <f t="shared" si="517"/>
        <v>339</v>
      </c>
      <c r="CN238" s="418">
        <f t="shared" si="517"/>
        <v>427</v>
      </c>
      <c r="CO238" s="418">
        <f t="shared" si="517"/>
        <v>471</v>
      </c>
      <c r="CP238" s="465">
        <f t="shared" si="517"/>
        <v>518</v>
      </c>
      <c r="CQ238" s="419">
        <f t="shared" ref="CQ238:CT238" si="518">SUM(CQ233:CQ237)</f>
        <v>472</v>
      </c>
      <c r="CR238" s="418">
        <f t="shared" si="518"/>
        <v>824</v>
      </c>
      <c r="CS238" s="418">
        <f t="shared" si="518"/>
        <v>749</v>
      </c>
      <c r="CT238" s="465">
        <f t="shared" si="518"/>
        <v>1203</v>
      </c>
      <c r="CU238" s="419">
        <f t="shared" ref="CU238:CX238" si="519">SUM(CU233:CU237)</f>
        <v>1292</v>
      </c>
      <c r="CV238" s="418">
        <f t="shared" si="519"/>
        <v>1049</v>
      </c>
      <c r="CW238" s="418">
        <f t="shared" si="519"/>
        <v>0</v>
      </c>
      <c r="CX238" s="465">
        <f t="shared" si="519"/>
        <v>0</v>
      </c>
    </row>
    <row r="239" spans="1:102" ht="16.5" thickTop="1" x14ac:dyDescent="0.25">
      <c r="A239" s="225"/>
      <c r="B239" s="308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180"/>
      <c r="AW239" s="180"/>
      <c r="AX239" s="180"/>
      <c r="AY239" s="24"/>
      <c r="AZ239" s="8"/>
      <c r="BA239" s="8"/>
      <c r="BB239" s="9"/>
      <c r="BC239" s="34"/>
      <c r="BD239" s="32"/>
      <c r="BE239" s="32"/>
      <c r="BF239" s="33"/>
      <c r="BG239" s="34"/>
      <c r="BK239" s="225"/>
      <c r="BL239" s="319"/>
      <c r="BM239" s="208"/>
      <c r="BN239" s="227"/>
      <c r="BO239" s="225"/>
      <c r="BP239" s="208"/>
      <c r="BQ239" s="208"/>
      <c r="BR239" s="208"/>
      <c r="BS239" s="225"/>
      <c r="BT239" s="208"/>
      <c r="BU239" s="208"/>
      <c r="BV239" s="227"/>
      <c r="BW239" s="208"/>
      <c r="BX239" s="208"/>
      <c r="BY239" s="208"/>
      <c r="BZ239" s="208"/>
      <c r="CA239" s="225"/>
      <c r="CB239" s="208"/>
      <c r="CC239" s="208"/>
      <c r="CD239" s="227"/>
      <c r="CE239" s="225"/>
      <c r="CF239" s="208"/>
      <c r="CG239" s="208"/>
      <c r="CH239" s="227"/>
      <c r="CI239" s="225"/>
      <c r="CJ239" s="208"/>
      <c r="CK239" s="208"/>
      <c r="CL239" s="227"/>
      <c r="CM239" s="225"/>
      <c r="CN239" s="208"/>
      <c r="CO239" s="208"/>
      <c r="CP239" s="227"/>
      <c r="CQ239" s="225"/>
      <c r="CR239" s="208"/>
      <c r="CS239" s="208"/>
      <c r="CT239" s="227"/>
      <c r="CU239" s="225"/>
      <c r="CV239" s="208"/>
      <c r="CW239" s="208"/>
      <c r="CX239" s="227"/>
    </row>
    <row r="240" spans="1:102" x14ac:dyDescent="0.25">
      <c r="A240" s="225"/>
      <c r="B240" s="292" t="s">
        <v>71</v>
      </c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10"/>
      <c r="AZ240" s="8"/>
      <c r="BA240" s="8"/>
      <c r="BB240" s="9"/>
      <c r="BC240" s="34"/>
      <c r="BD240" s="32"/>
      <c r="BE240" s="32"/>
      <c r="BF240" s="33"/>
      <c r="BG240" s="34"/>
      <c r="BH240" s="32"/>
      <c r="BK240" s="320"/>
      <c r="BL240" s="208"/>
      <c r="BM240" s="208"/>
      <c r="BN240" s="227"/>
      <c r="BO240" s="225"/>
      <c r="BP240" s="208"/>
      <c r="BQ240" s="208"/>
      <c r="BR240" s="208"/>
      <c r="BS240" s="225"/>
      <c r="BT240" s="208"/>
      <c r="BU240" s="208"/>
      <c r="BV240" s="227"/>
      <c r="BW240" s="208"/>
      <c r="BX240" s="208"/>
      <c r="BY240" s="208"/>
      <c r="BZ240" s="208"/>
      <c r="CA240" s="225"/>
      <c r="CB240" s="208"/>
      <c r="CC240" s="208"/>
      <c r="CD240" s="227"/>
      <c r="CE240" s="225"/>
      <c r="CF240" s="208"/>
      <c r="CG240" s="208"/>
      <c r="CH240" s="227"/>
      <c r="CI240" s="225"/>
      <c r="CJ240" s="208"/>
      <c r="CK240" s="208"/>
      <c r="CL240" s="227"/>
      <c r="CM240" s="225"/>
      <c r="CN240" s="208"/>
      <c r="CO240" s="208"/>
      <c r="CP240" s="227"/>
      <c r="CQ240" s="225"/>
      <c r="CR240" s="208"/>
      <c r="CS240" s="208"/>
      <c r="CT240" s="227"/>
      <c r="CU240" s="225"/>
      <c r="CV240" s="208"/>
      <c r="CW240" s="208"/>
      <c r="CX240" s="227"/>
    </row>
    <row r="241" spans="1:102" x14ac:dyDescent="0.25">
      <c r="A241" s="225"/>
      <c r="B241" s="227" t="s">
        <v>72</v>
      </c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10"/>
      <c r="AZ241" s="8"/>
      <c r="BA241" s="8"/>
      <c r="BB241" s="9"/>
      <c r="BC241" s="34"/>
      <c r="BD241" s="32"/>
      <c r="BE241" s="32"/>
      <c r="BF241" s="33"/>
      <c r="BG241" s="34"/>
      <c r="BH241" s="32"/>
      <c r="BI241" s="32"/>
      <c r="BJ241" s="32"/>
      <c r="BK241" s="213"/>
      <c r="BL241" s="214"/>
      <c r="BM241" s="214"/>
      <c r="BN241" s="259"/>
      <c r="BO241" s="213"/>
      <c r="BP241" s="214"/>
      <c r="BQ241" s="214">
        <v>553003</v>
      </c>
      <c r="BR241" s="214">
        <v>564820</v>
      </c>
      <c r="BS241" s="213">
        <v>588114</v>
      </c>
      <c r="BT241" s="214">
        <v>604400</v>
      </c>
      <c r="BU241" s="214">
        <v>697483</v>
      </c>
      <c r="BV241" s="259">
        <v>698943</v>
      </c>
      <c r="BW241" s="214">
        <v>786662</v>
      </c>
      <c r="BX241" s="214">
        <v>971083</v>
      </c>
      <c r="BY241" s="214">
        <v>1031406</v>
      </c>
      <c r="BZ241" s="214">
        <v>948518</v>
      </c>
      <c r="CA241" s="213">
        <v>858107</v>
      </c>
      <c r="CB241" s="214">
        <v>821978</v>
      </c>
      <c r="CC241" s="214">
        <v>841737</v>
      </c>
      <c r="CD241" s="259">
        <v>886535</v>
      </c>
      <c r="CE241" s="213">
        <v>916485</v>
      </c>
      <c r="CF241" s="214">
        <v>939142</v>
      </c>
      <c r="CG241" s="214">
        <v>945908</v>
      </c>
      <c r="CH241" s="259">
        <v>977273</v>
      </c>
      <c r="CI241" s="213">
        <v>1047404</v>
      </c>
      <c r="CJ241" s="214">
        <v>1186579</v>
      </c>
      <c r="CK241" s="214">
        <v>1154696</v>
      </c>
      <c r="CL241" s="259">
        <v>1191640</v>
      </c>
      <c r="CM241" s="213">
        <v>1260263</v>
      </c>
      <c r="CN241" s="214">
        <v>1400485</v>
      </c>
      <c r="CO241" s="214">
        <v>1431342</v>
      </c>
      <c r="CP241" s="259">
        <v>1532081</v>
      </c>
      <c r="CQ241" s="213">
        <v>1688909</v>
      </c>
      <c r="CR241" s="214">
        <v>1929072</v>
      </c>
      <c r="CS241" s="214">
        <v>1947323</v>
      </c>
      <c r="CT241" s="259">
        <v>2274797</v>
      </c>
      <c r="CU241" s="213">
        <v>2565368</v>
      </c>
      <c r="CV241" s="214">
        <v>2377458</v>
      </c>
      <c r="CW241" s="214"/>
      <c r="CX241" s="259"/>
    </row>
    <row r="242" spans="1:102" x14ac:dyDescent="0.25">
      <c r="A242" s="225"/>
      <c r="B242" s="227" t="s">
        <v>73</v>
      </c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10"/>
      <c r="AZ242" s="8"/>
      <c r="BA242" s="8"/>
      <c r="BB242" s="9"/>
      <c r="BC242" s="34"/>
      <c r="BD242" s="32"/>
      <c r="BE242" s="32"/>
      <c r="BF242" s="33"/>
      <c r="BG242" s="34"/>
      <c r="BH242" s="32"/>
      <c r="BI242" s="32"/>
      <c r="BJ242" s="32"/>
      <c r="BK242" s="213"/>
      <c r="BL242" s="214"/>
      <c r="BM242" s="214"/>
      <c r="BN242" s="259"/>
      <c r="BO242" s="213"/>
      <c r="BP242" s="214"/>
      <c r="BQ242" s="214">
        <f t="shared" ref="BQ242:BV242" si="520">+BQ241/(32.15074)/(BQ253)</f>
        <v>1224.2220281123818</v>
      </c>
      <c r="BR242" s="214">
        <f t="shared" si="520"/>
        <v>1227.663826374398</v>
      </c>
      <c r="BS242" s="213">
        <f t="shared" si="520"/>
        <v>1305.6669444698352</v>
      </c>
      <c r="BT242" s="214">
        <f t="shared" si="520"/>
        <v>1306.3895217984195</v>
      </c>
      <c r="BU242" s="214">
        <f t="shared" si="520"/>
        <v>1478.8105481366667</v>
      </c>
      <c r="BV242" s="259">
        <f t="shared" si="520"/>
        <v>1476.8724066963798</v>
      </c>
      <c r="BW242" s="214">
        <f t="shared" ref="BW242:BX242" si="521">+BW241/(32.15074)/(BW253)</f>
        <v>1590.8926050334676</v>
      </c>
      <c r="BX242" s="214">
        <f t="shared" si="521"/>
        <v>1682.6776452524302</v>
      </c>
      <c r="BY242" s="214">
        <f t="shared" ref="BY242:BZ242" si="522">+BY241/(32.15074)/(BY253)</f>
        <v>1897.1211795753964</v>
      </c>
      <c r="BZ242" s="214">
        <f t="shared" si="522"/>
        <v>1889.9560304225572</v>
      </c>
      <c r="CA242" s="213">
        <f t="shared" ref="CA242:CB242" si="523">+CA241/(32.15074)/(CA253)</f>
        <v>1784.0987045053303</v>
      </c>
      <c r="CB242" s="214">
        <f t="shared" si="523"/>
        <v>1809.3686395261759</v>
      </c>
      <c r="CC242" s="214">
        <f t="shared" ref="CC242:CF242" si="524">+CC241/(32.15074)/(CC253)</f>
        <v>1789.5387970032727</v>
      </c>
      <c r="CD242" s="259">
        <f t="shared" si="524"/>
        <v>1788.2183163761702</v>
      </c>
      <c r="CE242" s="213">
        <f t="shared" si="524"/>
        <v>1872.9221917873028</v>
      </c>
      <c r="CF242" s="214">
        <f t="shared" si="524"/>
        <v>1873.6746232737642</v>
      </c>
      <c r="CG242" s="214">
        <f t="shared" ref="CG242:CJ242" si="525">+CG241/(32.15074)/(CG253)</f>
        <v>1725.5738148892926</v>
      </c>
      <c r="CH242" s="259">
        <f t="shared" si="525"/>
        <v>1726.0984834189946</v>
      </c>
      <c r="CI242" s="213">
        <f t="shared" si="525"/>
        <v>1834.3419296243396</v>
      </c>
      <c r="CJ242" s="214">
        <f t="shared" si="525"/>
        <v>1977.8531585304779</v>
      </c>
      <c r="CK242" s="214">
        <f t="shared" ref="CK242:CP242" si="526">+CK241/(32.15074)/(CK253)</f>
        <v>1931.956298265656</v>
      </c>
      <c r="CL242" s="259">
        <f t="shared" si="526"/>
        <v>1987.3541376098915</v>
      </c>
      <c r="CM242" s="213">
        <f t="shared" si="526"/>
        <v>2078.3970832951763</v>
      </c>
      <c r="CN242" s="214">
        <f t="shared" si="526"/>
        <v>2345.7168339181685</v>
      </c>
      <c r="CO242" s="214">
        <f t="shared" si="526"/>
        <v>2478.826380042532</v>
      </c>
      <c r="CP242" s="259">
        <f t="shared" si="526"/>
        <v>2665.159707778615</v>
      </c>
      <c r="CQ242" s="213">
        <f t="shared" ref="CQ242:CT242" si="527">+CQ241/(32.15074)/(CQ253)</f>
        <v>2842.5840168431473</v>
      </c>
      <c r="CR242" s="214">
        <f t="shared" si="527"/>
        <v>3280.5280730527652</v>
      </c>
      <c r="CS242" s="214">
        <f t="shared" si="527"/>
        <v>3433.5900298861029</v>
      </c>
      <c r="CT242" s="259">
        <f t="shared" si="527"/>
        <v>4135.2489871292501</v>
      </c>
      <c r="CU242" s="213">
        <f t="shared" ref="CU242:CX242" si="528">+CU241/(32.15074)/(CU253)</f>
        <v>4883.2240130670443</v>
      </c>
      <c r="CV242" s="214">
        <f t="shared" si="528"/>
        <v>4487.088886767142</v>
      </c>
      <c r="CW242" s="214" t="e">
        <f t="shared" si="528"/>
        <v>#DIV/0!</v>
      </c>
      <c r="CX242" s="259" t="e">
        <f t="shared" si="528"/>
        <v>#DIV/0!</v>
      </c>
    </row>
    <row r="243" spans="1:102" x14ac:dyDescent="0.25">
      <c r="A243" s="225"/>
      <c r="B243" s="227" t="s">
        <v>138</v>
      </c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10"/>
      <c r="AZ243" s="8"/>
      <c r="BA243" s="8"/>
      <c r="BB243" s="9"/>
      <c r="BC243" s="34"/>
      <c r="BD243" s="32"/>
      <c r="BE243" s="32"/>
      <c r="BF243" s="33"/>
      <c r="BG243" s="34"/>
      <c r="BH243" s="32"/>
      <c r="BI243" s="32"/>
      <c r="BJ243" s="32"/>
      <c r="BK243" s="213"/>
      <c r="BL243" s="214"/>
      <c r="BM243" s="214"/>
      <c r="BN243" s="259"/>
      <c r="BO243" s="213"/>
      <c r="BP243" s="214"/>
      <c r="BQ243" s="214">
        <v>516651</v>
      </c>
      <c r="BR243" s="214">
        <f>((-BR232)/BR219)*1000000</f>
        <v>552565.2565256526</v>
      </c>
      <c r="BS243" s="213">
        <f>591/BS219*1000000</f>
        <v>523008.84955752216</v>
      </c>
      <c r="BT243" s="214">
        <f>(700.4+15)/BT219*1000000</f>
        <v>505583.0388692579</v>
      </c>
      <c r="BU243" s="214">
        <v>483255</v>
      </c>
      <c r="BV243" s="259">
        <v>458549</v>
      </c>
      <c r="BW243" s="214">
        <v>524220</v>
      </c>
      <c r="BX243" s="214">
        <v>583958</v>
      </c>
      <c r="BY243" s="214">
        <v>517437</v>
      </c>
      <c r="BZ243" s="214">
        <v>562109</v>
      </c>
      <c r="CA243" s="213">
        <v>567149</v>
      </c>
      <c r="CB243" s="214">
        <v>591010</v>
      </c>
      <c r="CC243" s="214">
        <v>604555</v>
      </c>
      <c r="CD243" s="259">
        <v>619346</v>
      </c>
      <c r="CE243" s="213">
        <v>647017</v>
      </c>
      <c r="CF243" s="214">
        <v>664588</v>
      </c>
      <c r="CG243" s="214">
        <v>673090</v>
      </c>
      <c r="CH243" s="259">
        <v>733177</v>
      </c>
      <c r="CI243" s="213">
        <v>696012</v>
      </c>
      <c r="CJ243" s="214">
        <v>815057</v>
      </c>
      <c r="CK243" s="214">
        <v>868380</v>
      </c>
      <c r="CL243" s="259">
        <v>847189</v>
      </c>
      <c r="CM243" s="213">
        <v>861451</v>
      </c>
      <c r="CN243" s="214">
        <v>899837</v>
      </c>
      <c r="CO243" s="214">
        <v>912055</v>
      </c>
      <c r="CP243" s="259">
        <v>893173</v>
      </c>
      <c r="CQ243" s="213">
        <v>1004579</v>
      </c>
      <c r="CR243" s="214">
        <v>976982</v>
      </c>
      <c r="CS243" s="214">
        <v>1010915</v>
      </c>
      <c r="CT243" s="259">
        <v>1029668</v>
      </c>
      <c r="CU243" s="213">
        <v>1013126</v>
      </c>
      <c r="CV243" s="214">
        <v>996103</v>
      </c>
      <c r="CW243" s="214"/>
      <c r="CX243" s="259"/>
    </row>
    <row r="244" spans="1:102" x14ac:dyDescent="0.25">
      <c r="A244" s="225"/>
      <c r="B244" s="227" t="s">
        <v>139</v>
      </c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10"/>
      <c r="AZ244" s="8"/>
      <c r="BA244" s="8"/>
      <c r="BB244" s="9"/>
      <c r="BC244" s="34"/>
      <c r="BD244" s="32"/>
      <c r="BE244" s="32"/>
      <c r="BF244" s="33"/>
      <c r="BG244" s="34"/>
      <c r="BH244" s="32"/>
      <c r="BI244" s="32"/>
      <c r="BJ244" s="32"/>
      <c r="BK244" s="213"/>
      <c r="BL244" s="214"/>
      <c r="BM244" s="214"/>
      <c r="BN244" s="259"/>
      <c r="BO244" s="213"/>
      <c r="BP244" s="214"/>
      <c r="BQ244" s="214">
        <f t="shared" ref="BQ244:BV244" si="529">+BQ243/(32.15074)/(BQ253)</f>
        <v>1143.7470231559146</v>
      </c>
      <c r="BR244" s="214">
        <f t="shared" si="529"/>
        <v>1201.0275435498627</v>
      </c>
      <c r="BS244" s="213">
        <f t="shared" si="529"/>
        <v>1161.1275476054877</v>
      </c>
      <c r="BT244" s="214">
        <f t="shared" si="529"/>
        <v>1092.8001065152243</v>
      </c>
      <c r="BU244" s="214">
        <f t="shared" si="529"/>
        <v>1024.6021644108671</v>
      </c>
      <c r="BV244" s="259">
        <f t="shared" si="529"/>
        <v>968.91787344349711</v>
      </c>
      <c r="BW244" s="214">
        <f t="shared" ref="BW244:BX244" si="530">+BW243/(32.15074)/(BW253)</f>
        <v>1060.147460295075</v>
      </c>
      <c r="BX244" s="214">
        <f t="shared" si="530"/>
        <v>1011.8734159349085</v>
      </c>
      <c r="BY244" s="214">
        <f t="shared" ref="BY244:BZ244" si="531">+BY243/(32.15074)/(BY253)</f>
        <v>951.75003034300209</v>
      </c>
      <c r="BZ244" s="214">
        <f t="shared" si="531"/>
        <v>1120.0222813956016</v>
      </c>
      <c r="CA244" s="213">
        <f t="shared" ref="CA244:CB244" si="532">+CA243/(32.15074)/(CA253)</f>
        <v>1179.1650646848161</v>
      </c>
      <c r="CB244" s="214">
        <f t="shared" si="532"/>
        <v>1300.9532610925903</v>
      </c>
      <c r="CC244" s="214">
        <f t="shared" ref="CC244:CF244" si="533">+CC243/(32.15074)/(CC253)</f>
        <v>1285.2881926567486</v>
      </c>
      <c r="CD244" s="259">
        <f t="shared" si="533"/>
        <v>1249.2748299551802</v>
      </c>
      <c r="CE244" s="213">
        <f t="shared" si="533"/>
        <v>1322.2393140789486</v>
      </c>
      <c r="CF244" s="214">
        <f t="shared" si="533"/>
        <v>1325.9141541239389</v>
      </c>
      <c r="CG244" s="214">
        <f t="shared" ref="CG244:CJ244" si="534">+CG243/(32.15074)/(CG253)</f>
        <v>1227.8852478928543</v>
      </c>
      <c r="CH244" s="259">
        <f t="shared" si="534"/>
        <v>1294.9664093632878</v>
      </c>
      <c r="CI244" s="213">
        <f t="shared" si="534"/>
        <v>1218.9413016579047</v>
      </c>
      <c r="CJ244" s="214">
        <f t="shared" si="534"/>
        <v>1358.5804753264433</v>
      </c>
      <c r="CK244" s="214">
        <f t="shared" ref="CK244:CP244" si="535">+CK243/(32.15074)/(CK253)</f>
        <v>1452.9124637895434</v>
      </c>
      <c r="CL244" s="259">
        <f t="shared" si="535"/>
        <v>1412.8969860759846</v>
      </c>
      <c r="CM244" s="213">
        <f t="shared" si="535"/>
        <v>1420.6854012231677</v>
      </c>
      <c r="CN244" s="214">
        <f t="shared" si="535"/>
        <v>1507.1655881229883</v>
      </c>
      <c r="CO244" s="214">
        <f t="shared" si="535"/>
        <v>1579.5148846674601</v>
      </c>
      <c r="CP244" s="259">
        <f t="shared" si="535"/>
        <v>1553.7355346589043</v>
      </c>
      <c r="CQ244" s="213">
        <f t="shared" ref="CQ244:CT244" si="536">+CQ243/(32.15074)/(CQ253)</f>
        <v>1690.7957794388403</v>
      </c>
      <c r="CR244" s="214">
        <f t="shared" si="536"/>
        <v>1661.4293701153906</v>
      </c>
      <c r="CS244" s="214">
        <f t="shared" si="536"/>
        <v>1782.4817275112086</v>
      </c>
      <c r="CT244" s="259">
        <f t="shared" si="536"/>
        <v>1871.7861655696754</v>
      </c>
      <c r="CU244" s="213">
        <f t="shared" ref="CU244:CX244" si="537">+CU243/(32.15074)/(CU253)</f>
        <v>1928.503517414485</v>
      </c>
      <c r="CV244" s="214">
        <f t="shared" si="537"/>
        <v>1879.992286456968</v>
      </c>
      <c r="CW244" s="214" t="e">
        <f t="shared" si="537"/>
        <v>#DIV/0!</v>
      </c>
      <c r="CX244" s="259" t="e">
        <f t="shared" si="537"/>
        <v>#DIV/0!</v>
      </c>
    </row>
    <row r="245" spans="1:102" ht="15" hidden="1" customHeight="1" x14ac:dyDescent="0.25">
      <c r="A245" s="225"/>
      <c r="B245" s="227" t="s">
        <v>74</v>
      </c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10"/>
      <c r="AZ245" s="8"/>
      <c r="BA245" s="8"/>
      <c r="BB245" s="9"/>
      <c r="BC245" s="34"/>
      <c r="BD245" s="32"/>
      <c r="BE245" s="32"/>
      <c r="BF245" s="33"/>
      <c r="BG245" s="34"/>
      <c r="BH245" s="32"/>
      <c r="BI245" s="32"/>
      <c r="BJ245" s="32"/>
      <c r="BK245" s="213"/>
      <c r="BL245" s="214"/>
      <c r="BM245" s="214"/>
      <c r="BN245" s="215"/>
      <c r="BO245" s="216"/>
      <c r="BP245" s="217"/>
      <c r="BQ245" s="217" t="s">
        <v>77</v>
      </c>
      <c r="BR245" s="217" t="s">
        <v>77</v>
      </c>
      <c r="BS245" s="216" t="s">
        <v>77</v>
      </c>
      <c r="BT245" s="217" t="s">
        <v>77</v>
      </c>
      <c r="BU245" s="217" t="s">
        <v>77</v>
      </c>
      <c r="BV245" s="215" t="s">
        <v>77</v>
      </c>
      <c r="BW245" s="217" t="s">
        <v>77</v>
      </c>
      <c r="BX245" s="217" t="s">
        <v>77</v>
      </c>
      <c r="BY245" s="217" t="s">
        <v>77</v>
      </c>
      <c r="BZ245" s="217" t="s">
        <v>77</v>
      </c>
      <c r="CA245" s="216" t="s">
        <v>77</v>
      </c>
      <c r="CB245" s="217" t="s">
        <v>77</v>
      </c>
      <c r="CC245" s="217" t="s">
        <v>77</v>
      </c>
      <c r="CD245" s="215" t="s">
        <v>77</v>
      </c>
      <c r="CE245" s="216" t="s">
        <v>77</v>
      </c>
      <c r="CF245" s="217" t="s">
        <v>77</v>
      </c>
      <c r="CG245" s="217" t="s">
        <v>77</v>
      </c>
      <c r="CH245" s="215" t="s">
        <v>77</v>
      </c>
      <c r="CI245" s="216" t="s">
        <v>77</v>
      </c>
      <c r="CJ245" s="217" t="s">
        <v>77</v>
      </c>
      <c r="CK245" s="217" t="s">
        <v>77</v>
      </c>
      <c r="CL245" s="215" t="s">
        <v>77</v>
      </c>
      <c r="CM245" s="216"/>
      <c r="CN245" s="217"/>
      <c r="CO245" s="217"/>
      <c r="CP245" s="215"/>
      <c r="CQ245" s="216"/>
      <c r="CR245" s="217"/>
      <c r="CS245" s="217"/>
      <c r="CT245" s="215"/>
      <c r="CU245" s="216"/>
      <c r="CV245" s="217"/>
      <c r="CW245" s="217"/>
      <c r="CX245" s="215"/>
    </row>
    <row r="246" spans="1:102" ht="15" hidden="1" customHeight="1" x14ac:dyDescent="0.25">
      <c r="A246" s="225"/>
      <c r="B246" s="227" t="s">
        <v>75</v>
      </c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10"/>
      <c r="AZ246" s="8"/>
      <c r="BA246" s="8"/>
      <c r="BB246" s="9"/>
      <c r="BC246" s="34"/>
      <c r="BD246" s="32"/>
      <c r="BE246" s="32"/>
      <c r="BF246" s="33"/>
      <c r="BG246" s="34"/>
      <c r="BH246" s="32"/>
      <c r="BI246" s="32"/>
      <c r="BJ246" s="32"/>
      <c r="BK246" s="213"/>
      <c r="BL246" s="214"/>
      <c r="BM246" s="214"/>
      <c r="BN246" s="215"/>
      <c r="BO246" s="216"/>
      <c r="BP246" s="217"/>
      <c r="BQ246" s="217" t="s">
        <v>77</v>
      </c>
      <c r="BR246" s="217" t="s">
        <v>77</v>
      </c>
      <c r="BS246" s="216" t="s">
        <v>77</v>
      </c>
      <c r="BT246" s="217" t="s">
        <v>77</v>
      </c>
      <c r="BU246" s="217" t="s">
        <v>77</v>
      </c>
      <c r="BV246" s="215" t="s">
        <v>77</v>
      </c>
      <c r="BW246" s="217" t="s">
        <v>77</v>
      </c>
      <c r="BX246" s="217" t="s">
        <v>77</v>
      </c>
      <c r="BY246" s="217" t="s">
        <v>77</v>
      </c>
      <c r="BZ246" s="217" t="s">
        <v>77</v>
      </c>
      <c r="CA246" s="216" t="s">
        <v>77</v>
      </c>
      <c r="CB246" s="217" t="s">
        <v>77</v>
      </c>
      <c r="CC246" s="217" t="s">
        <v>77</v>
      </c>
      <c r="CD246" s="215" t="s">
        <v>77</v>
      </c>
      <c r="CE246" s="216" t="s">
        <v>77</v>
      </c>
      <c r="CF246" s="217" t="s">
        <v>77</v>
      </c>
      <c r="CG246" s="217" t="s">
        <v>77</v>
      </c>
      <c r="CH246" s="215" t="s">
        <v>77</v>
      </c>
      <c r="CI246" s="216" t="s">
        <v>77</v>
      </c>
      <c r="CJ246" s="217" t="s">
        <v>77</v>
      </c>
      <c r="CK246" s="217" t="s">
        <v>77</v>
      </c>
      <c r="CL246" s="215" t="s">
        <v>77</v>
      </c>
      <c r="CM246" s="216"/>
      <c r="CN246" s="217"/>
      <c r="CO246" s="217"/>
      <c r="CP246" s="215"/>
      <c r="CQ246" s="216"/>
      <c r="CR246" s="217"/>
      <c r="CS246" s="217"/>
      <c r="CT246" s="215"/>
      <c r="CU246" s="216"/>
      <c r="CV246" s="217"/>
      <c r="CW246" s="217"/>
      <c r="CX246" s="215"/>
    </row>
    <row r="247" spans="1:102" ht="15" hidden="1" customHeight="1" x14ac:dyDescent="0.25">
      <c r="A247" s="225"/>
      <c r="B247" s="227" t="s">
        <v>76</v>
      </c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19"/>
      <c r="AZ247" s="20"/>
      <c r="BA247" s="20"/>
      <c r="BB247" s="21"/>
      <c r="BC247" s="40"/>
      <c r="BD247" s="41"/>
      <c r="BE247" s="41"/>
      <c r="BF247" s="42"/>
      <c r="BG247" s="40"/>
      <c r="BH247" s="41"/>
      <c r="BI247" s="41"/>
      <c r="BJ247" s="41"/>
      <c r="BK247" s="216"/>
      <c r="BL247" s="217"/>
      <c r="BM247" s="217"/>
      <c r="BN247" s="217"/>
      <c r="BO247" s="216"/>
      <c r="BP247" s="217"/>
      <c r="BQ247" s="217" t="s">
        <v>77</v>
      </c>
      <c r="BR247" s="217" t="s">
        <v>77</v>
      </c>
      <c r="BS247" s="216" t="s">
        <v>77</v>
      </c>
      <c r="BT247" s="217" t="s">
        <v>77</v>
      </c>
      <c r="BU247" s="217" t="s">
        <v>77</v>
      </c>
      <c r="BV247" s="215" t="s">
        <v>77</v>
      </c>
      <c r="BW247" s="217" t="s">
        <v>77</v>
      </c>
      <c r="BX247" s="217" t="s">
        <v>77</v>
      </c>
      <c r="BY247" s="217" t="s">
        <v>77</v>
      </c>
      <c r="BZ247" s="217" t="s">
        <v>77</v>
      </c>
      <c r="CA247" s="216" t="s">
        <v>77</v>
      </c>
      <c r="CB247" s="217" t="s">
        <v>77</v>
      </c>
      <c r="CC247" s="217" t="s">
        <v>77</v>
      </c>
      <c r="CD247" s="215" t="s">
        <v>77</v>
      </c>
      <c r="CE247" s="216" t="s">
        <v>77</v>
      </c>
      <c r="CF247" s="217" t="s">
        <v>77</v>
      </c>
      <c r="CG247" s="217" t="s">
        <v>77</v>
      </c>
      <c r="CH247" s="215" t="s">
        <v>77</v>
      </c>
      <c r="CI247" s="216" t="s">
        <v>77</v>
      </c>
      <c r="CJ247" s="217" t="s">
        <v>77</v>
      </c>
      <c r="CK247" s="217" t="s">
        <v>77</v>
      </c>
      <c r="CL247" s="215" t="s">
        <v>77</v>
      </c>
      <c r="CM247" s="216"/>
      <c r="CN247" s="217"/>
      <c r="CO247" s="217"/>
      <c r="CP247" s="215"/>
      <c r="CQ247" s="216"/>
      <c r="CR247" s="217"/>
      <c r="CS247" s="217"/>
      <c r="CT247" s="215"/>
      <c r="CU247" s="216"/>
      <c r="CV247" s="217"/>
      <c r="CW247" s="217"/>
      <c r="CX247" s="215"/>
    </row>
    <row r="248" spans="1:102" ht="15" hidden="1" customHeight="1" x14ac:dyDescent="0.25">
      <c r="A248" s="225"/>
      <c r="B248" s="227" t="s">
        <v>78</v>
      </c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19"/>
      <c r="AZ248" s="20"/>
      <c r="BA248" s="20"/>
      <c r="BB248" s="21"/>
      <c r="BC248" s="40"/>
      <c r="BD248" s="41"/>
      <c r="BE248" s="41"/>
      <c r="BF248" s="42"/>
      <c r="BG248" s="40"/>
      <c r="BH248" s="41"/>
      <c r="BI248" s="41"/>
      <c r="BJ248" s="41"/>
      <c r="BK248" s="216"/>
      <c r="BL248" s="217"/>
      <c r="BM248" s="217"/>
      <c r="BN248" s="217"/>
      <c r="BO248" s="216"/>
      <c r="BP248" s="217"/>
      <c r="BQ248" s="217" t="s">
        <v>77</v>
      </c>
      <c r="BR248" s="217" t="s">
        <v>77</v>
      </c>
      <c r="BS248" s="216" t="s">
        <v>77</v>
      </c>
      <c r="BT248" s="217" t="s">
        <v>77</v>
      </c>
      <c r="BU248" s="217" t="s">
        <v>77</v>
      </c>
      <c r="BV248" s="215" t="s">
        <v>77</v>
      </c>
      <c r="BW248" s="217" t="s">
        <v>77</v>
      </c>
      <c r="BX248" s="217" t="s">
        <v>77</v>
      </c>
      <c r="BY248" s="217" t="s">
        <v>77</v>
      </c>
      <c r="BZ248" s="217" t="s">
        <v>77</v>
      </c>
      <c r="CA248" s="216" t="s">
        <v>77</v>
      </c>
      <c r="CB248" s="217" t="s">
        <v>77</v>
      </c>
      <c r="CC248" s="217" t="s">
        <v>77</v>
      </c>
      <c r="CD248" s="215" t="s">
        <v>77</v>
      </c>
      <c r="CE248" s="216" t="s">
        <v>77</v>
      </c>
      <c r="CF248" s="217" t="s">
        <v>77</v>
      </c>
      <c r="CG248" s="217" t="s">
        <v>77</v>
      </c>
      <c r="CH248" s="215" t="s">
        <v>77</v>
      </c>
      <c r="CI248" s="216" t="s">
        <v>77</v>
      </c>
      <c r="CJ248" s="217" t="s">
        <v>77</v>
      </c>
      <c r="CK248" s="217" t="s">
        <v>77</v>
      </c>
      <c r="CL248" s="215" t="s">
        <v>77</v>
      </c>
      <c r="CM248" s="216"/>
      <c r="CN248" s="217"/>
      <c r="CO248" s="217"/>
      <c r="CP248" s="215"/>
      <c r="CQ248" s="216"/>
      <c r="CR248" s="217"/>
      <c r="CS248" s="217"/>
      <c r="CT248" s="215"/>
      <c r="CU248" s="216"/>
      <c r="CV248" s="217"/>
      <c r="CW248" s="217"/>
      <c r="CX248" s="215"/>
    </row>
    <row r="249" spans="1:102" x14ac:dyDescent="0.25">
      <c r="A249" s="225"/>
      <c r="B249" s="227" t="s">
        <v>79</v>
      </c>
      <c r="C249" s="171"/>
      <c r="D249" s="171"/>
      <c r="E249" s="171"/>
      <c r="F249" s="171"/>
      <c r="G249" s="171"/>
      <c r="H249" s="171"/>
      <c r="I249" s="171"/>
      <c r="J249" s="171"/>
      <c r="K249" s="171"/>
      <c r="L249" s="171"/>
      <c r="M249" s="171"/>
      <c r="N249" s="171"/>
      <c r="O249" s="171"/>
      <c r="P249" s="171"/>
      <c r="Q249" s="171"/>
      <c r="R249" s="171"/>
      <c r="S249" s="171"/>
      <c r="T249" s="171"/>
      <c r="U249" s="171"/>
      <c r="V249" s="171"/>
      <c r="W249" s="171"/>
      <c r="X249" s="171"/>
      <c r="Y249" s="171"/>
      <c r="Z249" s="171"/>
      <c r="AA249" s="172"/>
      <c r="AB249" s="172"/>
      <c r="AC249" s="172"/>
      <c r="AD249" s="172"/>
      <c r="AE249" s="172"/>
      <c r="AF249" s="172"/>
      <c r="AG249" s="172"/>
      <c r="AH249" s="172"/>
      <c r="AI249" s="172"/>
      <c r="AJ249" s="172"/>
      <c r="AK249" s="172"/>
      <c r="AL249" s="172"/>
      <c r="AM249" s="925"/>
      <c r="AN249" s="925"/>
      <c r="AO249" s="925"/>
      <c r="AP249" s="925"/>
      <c r="AQ249" s="925"/>
      <c r="AR249" s="925"/>
      <c r="AS249" s="925"/>
      <c r="AT249" s="925"/>
      <c r="AU249" s="8"/>
      <c r="AV249" s="8"/>
      <c r="AW249" s="8"/>
      <c r="AX249" s="8"/>
      <c r="AY249" s="10"/>
      <c r="AZ249" s="8"/>
      <c r="BA249" s="8"/>
      <c r="BB249" s="9"/>
      <c r="BC249" s="34"/>
      <c r="BD249" s="32"/>
      <c r="BE249" s="32"/>
      <c r="BF249" s="33"/>
      <c r="BG249" s="34"/>
      <c r="BH249" s="32"/>
      <c r="BI249" s="32"/>
      <c r="BJ249" s="32"/>
      <c r="BK249" s="213"/>
      <c r="BL249" s="214"/>
      <c r="BM249" s="214"/>
      <c r="BN249" s="259"/>
      <c r="BO249" s="213"/>
      <c r="BP249" s="214"/>
      <c r="BQ249" s="214">
        <v>564161</v>
      </c>
      <c r="BR249" s="214">
        <v>569217</v>
      </c>
      <c r="BS249" s="213">
        <v>546023</v>
      </c>
      <c r="BT249" s="214">
        <v>520156</v>
      </c>
      <c r="BU249" s="214">
        <v>509868</v>
      </c>
      <c r="BV249" s="259">
        <v>499075</v>
      </c>
      <c r="BW249" s="214">
        <v>580506</v>
      </c>
      <c r="BX249" s="214">
        <v>643425</v>
      </c>
      <c r="BY249" s="214">
        <v>591393</v>
      </c>
      <c r="BZ249" s="214">
        <v>617183</v>
      </c>
      <c r="CA249" s="213">
        <v>648129</v>
      </c>
      <c r="CB249" s="214">
        <v>676923</v>
      </c>
      <c r="CC249" s="214">
        <v>649860</v>
      </c>
      <c r="CD249" s="259">
        <v>684211</v>
      </c>
      <c r="CE249" s="213">
        <v>712418</v>
      </c>
      <c r="CF249" s="214">
        <v>899723</v>
      </c>
      <c r="CG249" s="214">
        <v>765603</v>
      </c>
      <c r="CH249" s="259">
        <v>837121</v>
      </c>
      <c r="CI249" s="213">
        <v>772009</v>
      </c>
      <c r="CJ249" s="214">
        <v>910802</v>
      </c>
      <c r="CK249" s="214">
        <v>963694</v>
      </c>
      <c r="CL249" s="259">
        <v>913249</v>
      </c>
      <c r="CM249" s="213">
        <v>906404</v>
      </c>
      <c r="CN249" s="214">
        <v>961165</v>
      </c>
      <c r="CO249" s="214">
        <v>931730</v>
      </c>
      <c r="CP249" s="259">
        <v>986698</v>
      </c>
      <c r="CQ249" s="213">
        <v>1071235</v>
      </c>
      <c r="CR249" s="214">
        <v>1079685</v>
      </c>
      <c r="CS249" s="214">
        <v>1045769</v>
      </c>
      <c r="CT249" s="259">
        <v>1104878</v>
      </c>
      <c r="CU249" s="213">
        <v>1069264</v>
      </c>
      <c r="CV249" s="214">
        <v>1071104</v>
      </c>
      <c r="CW249" s="214"/>
      <c r="CX249" s="259"/>
    </row>
    <row r="250" spans="1:102" x14ac:dyDescent="0.25">
      <c r="A250" s="225"/>
      <c r="B250" s="227" t="s">
        <v>80</v>
      </c>
      <c r="C250" s="171"/>
      <c r="D250" s="171"/>
      <c r="E250" s="171"/>
      <c r="F250" s="171"/>
      <c r="G250" s="171"/>
      <c r="H250" s="171"/>
      <c r="I250" s="171"/>
      <c r="J250" s="171"/>
      <c r="K250" s="171"/>
      <c r="L250" s="171"/>
      <c r="M250" s="171"/>
      <c r="N250" s="171"/>
      <c r="O250" s="171"/>
      <c r="P250" s="171"/>
      <c r="Q250" s="171"/>
      <c r="R250" s="171"/>
      <c r="S250" s="171"/>
      <c r="T250" s="171"/>
      <c r="U250" s="171"/>
      <c r="V250" s="171"/>
      <c r="W250" s="171"/>
      <c r="X250" s="171"/>
      <c r="Y250" s="171"/>
      <c r="Z250" s="171"/>
      <c r="AA250" s="172"/>
      <c r="AB250" s="172"/>
      <c r="AC250" s="172"/>
      <c r="AD250" s="172"/>
      <c r="AE250" s="172"/>
      <c r="AF250" s="172"/>
      <c r="AG250" s="172"/>
      <c r="AH250" s="172"/>
      <c r="AI250" s="172"/>
      <c r="AJ250" s="172"/>
      <c r="AK250" s="172"/>
      <c r="AL250" s="172"/>
      <c r="AM250" s="925"/>
      <c r="AN250" s="925"/>
      <c r="AO250" s="925"/>
      <c r="AP250" s="925"/>
      <c r="AQ250" s="925"/>
      <c r="AR250" s="925"/>
      <c r="AS250" s="925"/>
      <c r="AT250" s="925"/>
      <c r="AU250" s="8"/>
      <c r="AV250" s="8"/>
      <c r="AW250" s="8"/>
      <c r="AX250" s="8"/>
      <c r="AY250" s="10"/>
      <c r="AZ250" s="8"/>
      <c r="BA250" s="8"/>
      <c r="BB250" s="9"/>
      <c r="BC250" s="34"/>
      <c r="BD250" s="32"/>
      <c r="BE250" s="32"/>
      <c r="BF250" s="33"/>
      <c r="BG250" s="34"/>
      <c r="BH250" s="32"/>
      <c r="BI250" s="32"/>
      <c r="BJ250" s="32"/>
      <c r="BK250" s="213"/>
      <c r="BL250" s="214"/>
      <c r="BM250" s="214"/>
      <c r="BN250" s="259"/>
      <c r="BO250" s="213"/>
      <c r="BP250" s="214"/>
      <c r="BQ250" s="214">
        <f>+BQ249/(32.15074)/(BQ253)</f>
        <v>1248.9232854105844</v>
      </c>
      <c r="BR250" s="214">
        <f>+BR249/(32.15074)/(BR253)+1</f>
        <v>1238.2209203947377</v>
      </c>
      <c r="BS250" s="213">
        <f t="shared" ref="BS250:BX250" si="538">+BS249/(32.15074)/(BS253)</f>
        <v>1212.2210694189439</v>
      </c>
      <c r="BT250" s="214">
        <f t="shared" si="538"/>
        <v>1124.2990537732937</v>
      </c>
      <c r="BU250" s="214">
        <f t="shared" si="538"/>
        <v>1081.0273175938999</v>
      </c>
      <c r="BV250" s="259">
        <f t="shared" si="538"/>
        <v>1054.5496505036831</v>
      </c>
      <c r="BW250" s="214">
        <f t="shared" si="538"/>
        <v>1173.9765014422435</v>
      </c>
      <c r="BX250" s="214">
        <f t="shared" si="538"/>
        <v>1114.9169163671334</v>
      </c>
      <c r="BY250" s="214">
        <f t="shared" ref="BY250:BZ250" si="539">+BY249/(32.15074)/(BY253)</f>
        <v>1087.7813254456853</v>
      </c>
      <c r="BZ250" s="214">
        <f t="shared" si="539"/>
        <v>1229.7591956339102</v>
      </c>
      <c r="CA250" s="213">
        <f t="shared" ref="CA250:CB250" si="540">+CA249/(32.15074)/(CA253)</f>
        <v>1347.5313792479669</v>
      </c>
      <c r="CB250" s="214">
        <f t="shared" si="540"/>
        <v>1490.0681618899503</v>
      </c>
      <c r="CC250" s="214">
        <f t="shared" ref="CC250:CF250" si="541">+CC249/(32.15074)/(CC253)</f>
        <v>1381.6069420977653</v>
      </c>
      <c r="CD250" s="259">
        <f t="shared" si="541"/>
        <v>1380.1131850023471</v>
      </c>
      <c r="CE250" s="213">
        <f t="shared" si="541"/>
        <v>1455.8923299658222</v>
      </c>
      <c r="CF250" s="214">
        <f t="shared" si="541"/>
        <v>1795.0300945711522</v>
      </c>
      <c r="CG250" s="214">
        <f t="shared" ref="CG250:CJ250" si="542">+CG249/(32.15074)/(CG253)</f>
        <v>1396.652200214701</v>
      </c>
      <c r="CH250" s="259">
        <f t="shared" si="542"/>
        <v>1478.5564407675158</v>
      </c>
      <c r="CI250" s="213">
        <f t="shared" si="542"/>
        <v>1352.0365386683238</v>
      </c>
      <c r="CJ250" s="214">
        <f t="shared" si="542"/>
        <v>1518.1733474938258</v>
      </c>
      <c r="CK250" s="214">
        <f t="shared" ref="CK250:CP250" si="543">+CK249/(32.15074)/(CK253)</f>
        <v>1612.385158432023</v>
      </c>
      <c r="CL250" s="259">
        <f t="shared" si="543"/>
        <v>1523.0683585798529</v>
      </c>
      <c r="CM250" s="213">
        <f t="shared" si="543"/>
        <v>1494.8208666659903</v>
      </c>
      <c r="CN250" s="214">
        <f t="shared" si="543"/>
        <v>1609.8858043270416</v>
      </c>
      <c r="CO250" s="214">
        <f t="shared" si="543"/>
        <v>1613.5884387358358</v>
      </c>
      <c r="CP250" s="259">
        <f t="shared" si="543"/>
        <v>1716.4286701197545</v>
      </c>
      <c r="CQ250" s="213">
        <f t="shared" ref="CQ250:CT250" si="544">+CQ249/(32.15074)/(CQ253)</f>
        <v>1802.9837541767906</v>
      </c>
      <c r="CR250" s="214">
        <f t="shared" si="544"/>
        <v>1836.0833356940407</v>
      </c>
      <c r="CS250" s="214">
        <f t="shared" si="544"/>
        <v>1843.9375552817687</v>
      </c>
      <c r="CT250" s="259">
        <f t="shared" si="544"/>
        <v>2008.5069702489463</v>
      </c>
      <c r="CU250" s="213">
        <f t="shared" ref="CU250:CX250" si="545">+CU249/(32.15074)/(CU253)</f>
        <v>2035.3632075819612</v>
      </c>
      <c r="CV250" s="214">
        <f t="shared" si="545"/>
        <v>2021.5452197144311</v>
      </c>
      <c r="CW250" s="214" t="e">
        <f t="shared" si="545"/>
        <v>#DIV/0!</v>
      </c>
      <c r="CX250" s="259" t="e">
        <f t="shared" si="545"/>
        <v>#DIV/0!</v>
      </c>
    </row>
    <row r="251" spans="1:102" x14ac:dyDescent="0.25">
      <c r="A251" s="225"/>
      <c r="B251" s="227" t="s">
        <v>81</v>
      </c>
      <c r="C251" s="171"/>
      <c r="D251" s="171"/>
      <c r="E251" s="171"/>
      <c r="F251" s="171"/>
      <c r="G251" s="171"/>
      <c r="H251" s="171"/>
      <c r="I251" s="171"/>
      <c r="J251" s="171"/>
      <c r="K251" s="171"/>
      <c r="L251" s="171"/>
      <c r="M251" s="171"/>
      <c r="N251" s="171"/>
      <c r="O251" s="171"/>
      <c r="P251" s="171"/>
      <c r="Q251" s="171"/>
      <c r="R251" s="171"/>
      <c r="S251" s="171"/>
      <c r="T251" s="171"/>
      <c r="U251" s="171"/>
      <c r="V251" s="171"/>
      <c r="W251" s="171"/>
      <c r="X251" s="171"/>
      <c r="Y251" s="171"/>
      <c r="Z251" s="171"/>
      <c r="AA251" s="172"/>
      <c r="AB251" s="172"/>
      <c r="AC251" s="172"/>
      <c r="AD251" s="172"/>
      <c r="AE251" s="172"/>
      <c r="AF251" s="172"/>
      <c r="AG251" s="172"/>
      <c r="AH251" s="172"/>
      <c r="AI251" s="172"/>
      <c r="AJ251" s="172"/>
      <c r="AK251" s="172"/>
      <c r="AL251" s="172"/>
      <c r="AM251" s="925"/>
      <c r="AN251" s="925"/>
      <c r="AO251" s="925"/>
      <c r="AP251" s="925"/>
      <c r="AQ251" s="925"/>
      <c r="AR251" s="925"/>
      <c r="AS251" s="925"/>
      <c r="AT251" s="925"/>
      <c r="AU251" s="8"/>
      <c r="AV251" s="8"/>
      <c r="AW251" s="8"/>
      <c r="AX251" s="8"/>
      <c r="AY251" s="10"/>
      <c r="AZ251" s="8"/>
      <c r="BA251" s="8"/>
      <c r="BB251" s="9"/>
      <c r="BC251" s="34"/>
      <c r="BD251" s="32"/>
      <c r="BE251" s="32"/>
      <c r="BF251" s="33"/>
      <c r="BG251" s="34"/>
      <c r="BH251" s="32"/>
      <c r="BI251" s="32"/>
      <c r="BJ251" s="32"/>
      <c r="BK251" s="213"/>
      <c r="BL251" s="214"/>
      <c r="BM251" s="214"/>
      <c r="BN251" s="259"/>
      <c r="BO251" s="213"/>
      <c r="BP251" s="214"/>
      <c r="BQ251" s="214">
        <v>720775</v>
      </c>
      <c r="BR251" s="214">
        <v>734916</v>
      </c>
      <c r="BS251" s="213">
        <v>556390</v>
      </c>
      <c r="BT251" s="214">
        <v>531867</v>
      </c>
      <c r="BU251" s="214">
        <v>517285</v>
      </c>
      <c r="BV251" s="259">
        <v>498877</v>
      </c>
      <c r="BW251" s="214">
        <v>582627</v>
      </c>
      <c r="BX251" s="214">
        <v>648160</v>
      </c>
      <c r="BY251" s="214">
        <v>608016</v>
      </c>
      <c r="BZ251" s="214">
        <v>626146</v>
      </c>
      <c r="CA251" s="213">
        <v>648129</v>
      </c>
      <c r="CB251" s="214">
        <v>683516</v>
      </c>
      <c r="CC251" s="214">
        <v>659664</v>
      </c>
      <c r="CD251" s="259">
        <v>700615</v>
      </c>
      <c r="CE251" s="213">
        <v>729121</v>
      </c>
      <c r="CF251" s="214">
        <v>887967</v>
      </c>
      <c r="CG251" s="214">
        <v>802358</v>
      </c>
      <c r="CH251" s="259">
        <v>886364</v>
      </c>
      <c r="CI251" s="213">
        <v>892400</v>
      </c>
      <c r="CJ251" s="214">
        <v>1129296</v>
      </c>
      <c r="CK251" s="214">
        <v>1083662</v>
      </c>
      <c r="CL251" s="259">
        <v>1151420</v>
      </c>
      <c r="CM251" s="213">
        <v>1170772</v>
      </c>
      <c r="CN251" s="214">
        <v>2589806</v>
      </c>
      <c r="CO251" s="214">
        <v>1145849</v>
      </c>
      <c r="CP251" s="259">
        <v>1394366</v>
      </c>
      <c r="CQ251" s="213">
        <v>1420198</v>
      </c>
      <c r="CR251" s="214">
        <v>1706655</v>
      </c>
      <c r="CS251" s="214">
        <v>1721071</v>
      </c>
      <c r="CT251" s="259">
        <v>1745528</v>
      </c>
      <c r="CU251" s="213">
        <v>1699567</v>
      </c>
      <c r="CV251" s="214">
        <v>1922088</v>
      </c>
      <c r="CW251" s="214"/>
      <c r="CX251" s="259"/>
    </row>
    <row r="252" spans="1:102" x14ac:dyDescent="0.25">
      <c r="A252" s="225"/>
      <c r="B252" s="227" t="s">
        <v>82</v>
      </c>
      <c r="C252" s="171"/>
      <c r="D252" s="171"/>
      <c r="E252" s="171"/>
      <c r="F252" s="171"/>
      <c r="G252" s="171"/>
      <c r="H252" s="171"/>
      <c r="I252" s="171"/>
      <c r="J252" s="171"/>
      <c r="K252" s="171"/>
      <c r="L252" s="171"/>
      <c r="M252" s="171"/>
      <c r="N252" s="171"/>
      <c r="O252" s="171"/>
      <c r="P252" s="171"/>
      <c r="Q252" s="171"/>
      <c r="R252" s="171"/>
      <c r="S252" s="171"/>
      <c r="T252" s="171"/>
      <c r="U252" s="171"/>
      <c r="V252" s="171"/>
      <c r="W252" s="171"/>
      <c r="X252" s="171"/>
      <c r="Y252" s="171"/>
      <c r="Z252" s="171"/>
      <c r="AA252" s="172"/>
      <c r="AB252" s="172"/>
      <c r="AC252" s="172"/>
      <c r="AD252" s="172"/>
      <c r="AE252" s="172"/>
      <c r="AF252" s="172"/>
      <c r="AG252" s="172"/>
      <c r="AH252" s="172"/>
      <c r="AI252" s="172"/>
      <c r="AJ252" s="172"/>
      <c r="AK252" s="172"/>
      <c r="AL252" s="172"/>
      <c r="AM252" s="925"/>
      <c r="AN252" s="925"/>
      <c r="AO252" s="925"/>
      <c r="AP252" s="925"/>
      <c r="AQ252" s="925"/>
      <c r="AR252" s="925"/>
      <c r="AS252" s="925"/>
      <c r="AT252" s="925"/>
      <c r="AU252" s="8"/>
      <c r="AV252" s="8"/>
      <c r="AW252" s="8"/>
      <c r="AX252" s="8"/>
      <c r="AY252" s="10"/>
      <c r="AZ252" s="8"/>
      <c r="BA252" s="8"/>
      <c r="BB252" s="9"/>
      <c r="BC252" s="34"/>
      <c r="BD252" s="32"/>
      <c r="BE252" s="32"/>
      <c r="BF252" s="33"/>
      <c r="BG252" s="34"/>
      <c r="BH252" s="32"/>
      <c r="BI252" s="32"/>
      <c r="BJ252" s="32"/>
      <c r="BK252" s="213"/>
      <c r="BL252" s="214"/>
      <c r="BM252" s="214"/>
      <c r="BN252" s="259"/>
      <c r="BO252" s="213"/>
      <c r="BP252" s="214"/>
      <c r="BQ252" s="214">
        <f>+BQ251/(32.15074)/(BQ253)</f>
        <v>1595.6308235447223</v>
      </c>
      <c r="BR252" s="214">
        <f>+BR251/(32.15074)/(BR253)+1</f>
        <v>1598.375780998844</v>
      </c>
      <c r="BS252" s="213">
        <f t="shared" ref="BS252:BX252" si="546">+BS251/(32.15074)/(BS253)</f>
        <v>1235.2367589167607</v>
      </c>
      <c r="BT252" s="214">
        <f t="shared" si="546"/>
        <v>1149.6119718569823</v>
      </c>
      <c r="BU252" s="214">
        <f t="shared" si="546"/>
        <v>1096.7529164049527</v>
      </c>
      <c r="BV252" s="259">
        <f t="shared" si="546"/>
        <v>1054.1312748471189</v>
      </c>
      <c r="BW252" s="214">
        <f t="shared" si="546"/>
        <v>1178.2658699579158</v>
      </c>
      <c r="BX252" s="214">
        <f t="shared" si="546"/>
        <v>1123.1216513385727</v>
      </c>
      <c r="BY252" s="214">
        <f t="shared" ref="BY252:BZ252" si="547">+BY251/(32.15074)/(BY253)</f>
        <v>1118.3569138832956</v>
      </c>
      <c r="BZ252" s="214">
        <f t="shared" si="547"/>
        <v>1247.6182936169503</v>
      </c>
      <c r="CA252" s="213">
        <f t="shared" ref="CA252:CB252" si="548">+CA251/(32.15074)/(CA253)</f>
        <v>1347.5313792479669</v>
      </c>
      <c r="CB252" s="214">
        <f t="shared" si="548"/>
        <v>1504.5809194581527</v>
      </c>
      <c r="CC252" s="214">
        <f t="shared" ref="CC252:CF252" si="549">+CC251/(32.15074)/(CC253)</f>
        <v>1402.4503152247873</v>
      </c>
      <c r="CD252" s="259">
        <f t="shared" si="549"/>
        <v>1413.2014818680486</v>
      </c>
      <c r="CE252" s="213">
        <f t="shared" si="549"/>
        <v>1490.0264613148606</v>
      </c>
      <c r="CF252" s="214">
        <f t="shared" si="549"/>
        <v>1771.5757938677373</v>
      </c>
      <c r="CG252" s="214">
        <f t="shared" ref="CG252:CJ252" si="550">+CG251/(32.15074)/(CG253)</f>
        <v>1463.7025534903428</v>
      </c>
      <c r="CH252" s="259">
        <f t="shared" si="550"/>
        <v>1565.5313880125552</v>
      </c>
      <c r="CI252" s="213">
        <f t="shared" si="550"/>
        <v>1562.8799756319058</v>
      </c>
      <c r="CJ252" s="214">
        <f t="shared" si="550"/>
        <v>1882.3707991763165</v>
      </c>
      <c r="CK252" s="214">
        <f t="shared" ref="CK252:CP252" si="551">+CK251/(32.15074)/(CK253)</f>
        <v>1813.1071953926898</v>
      </c>
      <c r="CL252" s="259">
        <f t="shared" si="551"/>
        <v>1920.2773498093229</v>
      </c>
      <c r="CM252" s="213">
        <f t="shared" si="551"/>
        <v>1930.8105609731142</v>
      </c>
      <c r="CN252" s="214">
        <f t="shared" si="551"/>
        <v>4337.7483734436828</v>
      </c>
      <c r="CO252" s="214">
        <f t="shared" si="551"/>
        <v>1984.4039570873736</v>
      </c>
      <c r="CP252" s="259">
        <f t="shared" si="551"/>
        <v>2425.595044319743</v>
      </c>
      <c r="CQ252" s="213">
        <f t="shared" ref="CQ252:CT252" si="552">+CQ251/(32.15074)/(CQ253)</f>
        <v>2390.3195113251245</v>
      </c>
      <c r="CR252" s="214">
        <f t="shared" si="552"/>
        <v>2902.2916918165142</v>
      </c>
      <c r="CS252" s="214">
        <f t="shared" si="552"/>
        <v>3034.6543569434061</v>
      </c>
      <c r="CT252" s="259">
        <f t="shared" si="552"/>
        <v>3173.1151808296504</v>
      </c>
      <c r="CU252" s="213">
        <f t="shared" ref="CU252:CX252" si="553">+CU251/(32.15074)/(CU253)</f>
        <v>3235.1562762988851</v>
      </c>
      <c r="CV252" s="214">
        <f t="shared" si="553"/>
        <v>3627.647556418865</v>
      </c>
      <c r="CW252" s="214" t="e">
        <f t="shared" si="553"/>
        <v>#DIV/0!</v>
      </c>
      <c r="CX252" s="259" t="e">
        <f t="shared" si="553"/>
        <v>#DIV/0!</v>
      </c>
    </row>
    <row r="253" spans="1:102" x14ac:dyDescent="0.25">
      <c r="A253" s="225"/>
      <c r="B253" s="300" t="s">
        <v>83</v>
      </c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1"/>
      <c r="AZ253" s="12"/>
      <c r="BA253" s="12"/>
      <c r="BB253" s="13"/>
      <c r="BC253" s="35"/>
      <c r="BD253" s="36"/>
      <c r="BE253" s="36"/>
      <c r="BF253" s="37"/>
      <c r="BG253" s="35"/>
      <c r="BH253" s="36"/>
      <c r="BI253" s="36"/>
      <c r="BJ253" s="36"/>
      <c r="BK253" s="301"/>
      <c r="BL253" s="297"/>
      <c r="BM253" s="297"/>
      <c r="BN253" s="227"/>
      <c r="BO253" s="301"/>
      <c r="BP253" s="297"/>
      <c r="BQ253" s="297">
        <v>14.05</v>
      </c>
      <c r="BR253" s="297">
        <v>14.31</v>
      </c>
      <c r="BS253" s="301">
        <v>14.01</v>
      </c>
      <c r="BT253" s="297">
        <v>14.39</v>
      </c>
      <c r="BU253" s="297">
        <v>14.67</v>
      </c>
      <c r="BV253" s="302">
        <v>14.72</v>
      </c>
      <c r="BW253" s="297">
        <v>15.38</v>
      </c>
      <c r="BX253" s="297">
        <v>17.95</v>
      </c>
      <c r="BY253" s="297">
        <v>16.91</v>
      </c>
      <c r="BZ253" s="297">
        <v>15.61</v>
      </c>
      <c r="CA253" s="301">
        <v>14.96</v>
      </c>
      <c r="CB253" s="297">
        <v>14.13</v>
      </c>
      <c r="CC253" s="297">
        <v>14.63</v>
      </c>
      <c r="CD253" s="302">
        <v>15.42</v>
      </c>
      <c r="CE253" s="301">
        <v>15.22</v>
      </c>
      <c r="CF253" s="297">
        <v>15.59</v>
      </c>
      <c r="CG253" s="297">
        <v>17.05</v>
      </c>
      <c r="CH253" s="302">
        <v>17.61</v>
      </c>
      <c r="CI253" s="301">
        <v>17.760000000000002</v>
      </c>
      <c r="CJ253" s="297">
        <v>18.66</v>
      </c>
      <c r="CK253" s="297">
        <v>18.59</v>
      </c>
      <c r="CL253" s="326">
        <v>18.649999999999999</v>
      </c>
      <c r="CM253" s="301">
        <v>18.86</v>
      </c>
      <c r="CN253" s="297">
        <v>18.57</v>
      </c>
      <c r="CO253" s="297">
        <v>17.96</v>
      </c>
      <c r="CP253" s="326">
        <v>17.88</v>
      </c>
      <c r="CQ253" s="301">
        <v>18.48</v>
      </c>
      <c r="CR253" s="297">
        <v>18.29</v>
      </c>
      <c r="CS253" s="297">
        <v>17.64</v>
      </c>
      <c r="CT253" s="326">
        <v>17.11</v>
      </c>
      <c r="CU253" s="301">
        <v>16.34</v>
      </c>
      <c r="CV253" s="297">
        <v>16.48</v>
      </c>
      <c r="CW253" s="297"/>
      <c r="CX253" s="326"/>
    </row>
    <row r="254" spans="1:102" x14ac:dyDescent="0.25">
      <c r="A254" s="225"/>
      <c r="B254" s="227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10"/>
      <c r="AZ254" s="8"/>
      <c r="BA254" s="8"/>
      <c r="BB254" s="9"/>
      <c r="BC254" s="43"/>
      <c r="BD254" s="32"/>
      <c r="BE254" s="32"/>
      <c r="BF254" s="33"/>
      <c r="BG254" s="43"/>
      <c r="BH254" s="44"/>
      <c r="BK254" s="225"/>
      <c r="BL254" s="208"/>
      <c r="BM254" s="208"/>
      <c r="BN254" s="227"/>
      <c r="BO254" s="225"/>
      <c r="BP254" s="208"/>
      <c r="BQ254" s="208"/>
      <c r="BR254" s="208"/>
      <c r="BS254" s="225"/>
      <c r="BT254" s="208"/>
      <c r="BU254" s="208"/>
      <c r="BV254" s="227"/>
      <c r="BW254" s="208"/>
      <c r="BX254" s="208"/>
      <c r="BY254" s="208"/>
      <c r="BZ254" s="208"/>
      <c r="CA254" s="225"/>
      <c r="CB254" s="208"/>
      <c r="CC254" s="208"/>
      <c r="CD254" s="227"/>
      <c r="CE254" s="225"/>
      <c r="CF254" s="208"/>
      <c r="CG254" s="208"/>
      <c r="CH254" s="227"/>
      <c r="CI254" s="225"/>
      <c r="CJ254" s="208"/>
      <c r="CK254" s="208"/>
      <c r="CL254" s="227"/>
      <c r="CM254" s="225"/>
      <c r="CN254" s="208"/>
      <c r="CO254" s="208"/>
      <c r="CP254" s="227"/>
      <c r="CQ254" s="225"/>
      <c r="CR254" s="208"/>
      <c r="CS254" s="208"/>
      <c r="CT254" s="227"/>
      <c r="CU254" s="225"/>
      <c r="CV254" s="208"/>
      <c r="CW254" s="208"/>
      <c r="CX254" s="227"/>
    </row>
    <row r="255" spans="1:102" x14ac:dyDescent="0.25">
      <c r="A255" s="307"/>
      <c r="B255" s="305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174"/>
      <c r="AZ255" s="7"/>
      <c r="BA255" s="7"/>
      <c r="BB255" s="175"/>
      <c r="BC255" s="176"/>
      <c r="BD255" s="173"/>
      <c r="BE255" s="173"/>
      <c r="BF255" s="181"/>
      <c r="BG255" s="176"/>
      <c r="BH255" s="177"/>
      <c r="BI255" s="28"/>
      <c r="BJ255" s="28"/>
      <c r="BK255" s="307"/>
      <c r="BL255" s="313"/>
      <c r="BM255" s="313"/>
      <c r="BN255" s="305"/>
      <c r="BO255" s="307"/>
      <c r="BP255" s="313"/>
      <c r="BQ255" s="313"/>
      <c r="BR255" s="313"/>
      <c r="BS255" s="307"/>
      <c r="BT255" s="313"/>
      <c r="BU255" s="313"/>
      <c r="BV255" s="305"/>
      <c r="BW255" s="313"/>
      <c r="BX255" s="313"/>
      <c r="BY255" s="313"/>
      <c r="BZ255" s="313"/>
      <c r="CA255" s="307"/>
      <c r="CB255" s="313"/>
      <c r="CC255" s="313"/>
      <c r="CD255" s="305"/>
      <c r="CE255" s="307"/>
      <c r="CF255" s="313"/>
      <c r="CG255" s="313"/>
      <c r="CH255" s="305"/>
      <c r="CI255" s="307"/>
      <c r="CJ255" s="313"/>
      <c r="CK255" s="313"/>
      <c r="CL255" s="305"/>
      <c r="CM255" s="307"/>
      <c r="CN255" s="313"/>
      <c r="CO255" s="313"/>
      <c r="CP255" s="305"/>
      <c r="CQ255" s="307"/>
      <c r="CR255" s="313"/>
      <c r="CS255" s="313"/>
      <c r="CT255" s="305"/>
      <c r="CU255" s="307"/>
      <c r="CV255" s="313"/>
      <c r="CW255" s="313"/>
      <c r="CX255" s="305"/>
    </row>
    <row r="256" spans="1:102" ht="21" x14ac:dyDescent="0.35">
      <c r="A256" s="192"/>
      <c r="B256" s="193" t="s">
        <v>169</v>
      </c>
      <c r="C256" s="194"/>
      <c r="D256" s="194"/>
      <c r="E256" s="194"/>
      <c r="F256" s="194"/>
      <c r="G256" s="194"/>
      <c r="H256" s="194"/>
      <c r="I256" s="194"/>
      <c r="J256" s="194"/>
      <c r="K256" s="194"/>
      <c r="L256" s="194"/>
      <c r="M256" s="194"/>
      <c r="N256" s="194"/>
      <c r="O256" s="194"/>
      <c r="P256" s="194"/>
      <c r="Q256" s="194"/>
      <c r="R256" s="194"/>
      <c r="S256" s="194"/>
      <c r="T256" s="194"/>
      <c r="U256" s="194"/>
      <c r="V256" s="194"/>
      <c r="W256" s="194"/>
      <c r="X256" s="194"/>
      <c r="Y256" s="194"/>
      <c r="Z256" s="194"/>
      <c r="AA256" s="194"/>
      <c r="AB256" s="194"/>
      <c r="AC256" s="194"/>
      <c r="AD256" s="194"/>
      <c r="AE256" s="194"/>
      <c r="AF256" s="194"/>
      <c r="AG256" s="194"/>
      <c r="AH256" s="194"/>
      <c r="AI256" s="194"/>
      <c r="AJ256" s="194"/>
      <c r="AK256" s="194"/>
      <c r="AL256" s="194"/>
      <c r="AM256" s="194"/>
      <c r="AN256" s="194"/>
      <c r="AO256" s="194"/>
      <c r="AP256" s="194"/>
      <c r="AQ256" s="194"/>
      <c r="AR256" s="194"/>
      <c r="AS256" s="194"/>
      <c r="AT256" s="194"/>
      <c r="AU256" s="194"/>
      <c r="AV256" s="194"/>
      <c r="AW256" s="194"/>
      <c r="AX256" s="194"/>
      <c r="AY256" s="195"/>
      <c r="AZ256" s="194"/>
      <c r="BA256" s="194"/>
      <c r="BB256" s="196"/>
      <c r="BC256" s="195"/>
      <c r="BD256" s="194"/>
      <c r="BE256" s="194"/>
      <c r="BF256" s="196"/>
      <c r="BG256" s="195"/>
      <c r="BH256" s="194"/>
      <c r="BI256" s="194"/>
      <c r="BJ256" s="194"/>
      <c r="BK256" s="195"/>
      <c r="BL256" s="194"/>
      <c r="BM256" s="194"/>
      <c r="BN256" s="196"/>
      <c r="BO256" s="195"/>
      <c r="BP256" s="194"/>
      <c r="BQ256" s="194"/>
      <c r="BR256" s="194"/>
      <c r="BS256" s="195"/>
      <c r="BT256" s="194"/>
      <c r="BU256" s="194"/>
      <c r="BV256" s="196"/>
      <c r="BW256" s="194"/>
      <c r="BX256" s="194"/>
      <c r="BY256" s="194"/>
      <c r="BZ256" s="194"/>
      <c r="CA256" s="195"/>
      <c r="CB256" s="194"/>
      <c r="CC256" s="194"/>
      <c r="CD256" s="196"/>
      <c r="CE256" s="195"/>
      <c r="CF256" s="194"/>
      <c r="CG256" s="194"/>
      <c r="CH256" s="196"/>
      <c r="CI256" s="195"/>
      <c r="CJ256" s="194"/>
      <c r="CK256" s="194"/>
      <c r="CL256" s="196"/>
      <c r="CM256" s="195"/>
      <c r="CN256" s="194"/>
      <c r="CO256" s="194"/>
      <c r="CP256" s="196"/>
      <c r="CQ256" s="195"/>
      <c r="CR256" s="194"/>
      <c r="CS256" s="194"/>
      <c r="CT256" s="196"/>
      <c r="CU256" s="195"/>
      <c r="CV256" s="194"/>
      <c r="CW256" s="194"/>
      <c r="CX256" s="196"/>
    </row>
    <row r="257" spans="1:119" x14ac:dyDescent="0.25">
      <c r="A257" s="225"/>
      <c r="B257" s="290" t="s">
        <v>51</v>
      </c>
      <c r="C257" s="8">
        <f t="shared" ref="C257:AH257" si="554">+C104+C53+C3</f>
        <v>27033</v>
      </c>
      <c r="D257" s="8">
        <f t="shared" si="554"/>
        <v>30141</v>
      </c>
      <c r="E257" s="8">
        <f t="shared" si="554"/>
        <v>32750</v>
      </c>
      <c r="F257" s="8">
        <f t="shared" si="554"/>
        <v>34749</v>
      </c>
      <c r="G257" s="8">
        <f t="shared" si="554"/>
        <v>31136</v>
      </c>
      <c r="H257" s="8">
        <f t="shared" si="554"/>
        <v>32991</v>
      </c>
      <c r="I257" s="8">
        <f t="shared" si="554"/>
        <v>31637</v>
      </c>
      <c r="J257" s="8">
        <f t="shared" si="554"/>
        <v>31998</v>
      </c>
      <c r="K257" s="8">
        <f t="shared" si="554"/>
        <v>26332</v>
      </c>
      <c r="L257" s="8">
        <f t="shared" si="554"/>
        <v>27473</v>
      </c>
      <c r="M257" s="8">
        <f t="shared" si="554"/>
        <v>26802</v>
      </c>
      <c r="N257" s="8">
        <f t="shared" si="554"/>
        <v>25279</v>
      </c>
      <c r="O257" s="8">
        <f t="shared" si="554"/>
        <v>24162</v>
      </c>
      <c r="P257" s="8">
        <f t="shared" si="554"/>
        <v>23915</v>
      </c>
      <c r="Q257" s="8">
        <f t="shared" si="554"/>
        <v>20856</v>
      </c>
      <c r="R257" s="8">
        <f t="shared" si="554"/>
        <v>24435</v>
      </c>
      <c r="S257" s="8">
        <f t="shared" si="554"/>
        <v>23086</v>
      </c>
      <c r="T257" s="8">
        <f t="shared" si="554"/>
        <v>25328</v>
      </c>
      <c r="U257" s="8">
        <f t="shared" si="554"/>
        <v>26664</v>
      </c>
      <c r="V257" s="8">
        <f t="shared" si="554"/>
        <v>27810</v>
      </c>
      <c r="W257" s="8">
        <f t="shared" si="554"/>
        <v>25500</v>
      </c>
      <c r="X257" s="8">
        <f t="shared" si="554"/>
        <v>26872</v>
      </c>
      <c r="Y257" s="8">
        <f t="shared" si="554"/>
        <v>29068</v>
      </c>
      <c r="Z257" s="8">
        <f t="shared" si="554"/>
        <v>27300</v>
      </c>
      <c r="AA257" s="8">
        <f t="shared" si="554"/>
        <v>21501</v>
      </c>
      <c r="AB257" s="8">
        <f t="shared" si="554"/>
        <v>23972</v>
      </c>
      <c r="AC257" s="8">
        <f t="shared" si="554"/>
        <v>19841</v>
      </c>
      <c r="AD257" s="8">
        <f t="shared" si="554"/>
        <v>17377</v>
      </c>
      <c r="AE257" s="8">
        <f t="shared" si="554"/>
        <v>17728</v>
      </c>
      <c r="AF257" s="8">
        <f t="shared" si="554"/>
        <v>20595</v>
      </c>
      <c r="AG257" s="8">
        <f t="shared" si="554"/>
        <v>19454</v>
      </c>
      <c r="AH257" s="8">
        <f t="shared" si="554"/>
        <v>19947</v>
      </c>
      <c r="AI257" s="8">
        <f t="shared" ref="AI257:AY257" si="555">+AI104+AI53+AI3</f>
        <v>16960</v>
      </c>
      <c r="AJ257" s="8">
        <f t="shared" si="555"/>
        <v>20268</v>
      </c>
      <c r="AK257" s="8">
        <f t="shared" si="555"/>
        <v>18440</v>
      </c>
      <c r="AL257" s="8">
        <f t="shared" si="555"/>
        <v>18167</v>
      </c>
      <c r="AM257" s="8">
        <f t="shared" si="555"/>
        <v>16680</v>
      </c>
      <c r="AN257" s="8">
        <f t="shared" si="555"/>
        <v>18423</v>
      </c>
      <c r="AO257" s="8">
        <f t="shared" si="555"/>
        <v>15902</v>
      </c>
      <c r="AP257" s="8">
        <f t="shared" si="555"/>
        <v>17376</v>
      </c>
      <c r="AQ257" s="8">
        <f t="shared" si="555"/>
        <v>15801</v>
      </c>
      <c r="AR257" s="8">
        <f t="shared" si="555"/>
        <v>17716</v>
      </c>
      <c r="AS257" s="8">
        <f t="shared" si="555"/>
        <v>14456</v>
      </c>
      <c r="AT257" s="8">
        <f t="shared" si="555"/>
        <v>8716</v>
      </c>
      <c r="AU257" s="8">
        <f t="shared" si="555"/>
        <v>12930</v>
      </c>
      <c r="AV257" s="8">
        <f t="shared" si="555"/>
        <v>14374</v>
      </c>
      <c r="AW257" s="8">
        <f t="shared" si="555"/>
        <v>13613</v>
      </c>
      <c r="AX257" s="8">
        <f t="shared" si="555"/>
        <v>13696</v>
      </c>
      <c r="AY257" s="10">
        <f t="shared" si="555"/>
        <v>11268</v>
      </c>
      <c r="AZ257" s="8">
        <f t="shared" ref="AZ257:BP257" si="556">+AZ104+AZ53+AZ3+AZ155</f>
        <v>15815</v>
      </c>
      <c r="BA257" s="8">
        <f t="shared" si="556"/>
        <v>18278</v>
      </c>
      <c r="BB257" s="9">
        <f t="shared" si="556"/>
        <v>19999</v>
      </c>
      <c r="BC257" s="34">
        <f t="shared" si="556"/>
        <v>16589</v>
      </c>
      <c r="BD257" s="32">
        <f t="shared" si="556"/>
        <v>17751</v>
      </c>
      <c r="BE257" s="32">
        <f t="shared" si="556"/>
        <v>17789</v>
      </c>
      <c r="BF257" s="33">
        <f t="shared" si="556"/>
        <v>15996</v>
      </c>
      <c r="BG257" s="34">
        <f t="shared" si="556"/>
        <v>14805</v>
      </c>
      <c r="BH257" s="32">
        <f t="shared" si="556"/>
        <v>15482</v>
      </c>
      <c r="BI257" s="32">
        <f t="shared" si="556"/>
        <v>13803</v>
      </c>
      <c r="BJ257" s="32">
        <f t="shared" si="556"/>
        <v>13929</v>
      </c>
      <c r="BK257" s="213">
        <f t="shared" si="556"/>
        <v>11423</v>
      </c>
      <c r="BL257" s="214">
        <f t="shared" si="556"/>
        <v>12526</v>
      </c>
      <c r="BM257" s="214">
        <f t="shared" si="556"/>
        <v>12763</v>
      </c>
      <c r="BN257" s="259">
        <f t="shared" si="556"/>
        <v>11551</v>
      </c>
      <c r="BO257" s="213">
        <f t="shared" si="556"/>
        <v>10052</v>
      </c>
      <c r="BP257" s="214">
        <f t="shared" si="556"/>
        <v>11213</v>
      </c>
      <c r="BQ257" s="214">
        <f t="shared" ref="BQ257:BV258" si="557">+BQ104+BQ53+BQ3+BQ155+BQ206</f>
        <v>10659</v>
      </c>
      <c r="BR257" s="214">
        <f t="shared" si="557"/>
        <v>8726</v>
      </c>
      <c r="BS257" s="213">
        <f>+BS104+BS53+BS3+BS155+BS206</f>
        <v>1684</v>
      </c>
      <c r="BT257" s="214">
        <f t="shared" si="557"/>
        <v>3990</v>
      </c>
      <c r="BU257" s="214">
        <f t="shared" si="557"/>
        <v>9056</v>
      </c>
      <c r="BV257" s="259">
        <f t="shared" si="557"/>
        <v>9704</v>
      </c>
      <c r="BW257" s="214">
        <f t="shared" ref="BW257:BY257" si="558">+BW104+BW53+BW3+BW155+BW206</f>
        <v>8446</v>
      </c>
      <c r="BX257" s="214">
        <f t="shared" si="558"/>
        <v>2694</v>
      </c>
      <c r="BY257" s="214">
        <f t="shared" si="558"/>
        <v>7363</v>
      </c>
      <c r="BZ257" s="214">
        <f t="shared" ref="BZ257:CB257" si="559">+BZ104+BZ53+BZ3+BZ155+BZ206</f>
        <v>8847</v>
      </c>
      <c r="CA257" s="213">
        <f t="shared" si="559"/>
        <v>7803</v>
      </c>
      <c r="CB257" s="214">
        <f t="shared" si="559"/>
        <v>8915</v>
      </c>
      <c r="CC257" s="214">
        <f t="shared" ref="CC257:CF257" si="560">+CC104+CC53+CC3+CC155+CC206</f>
        <v>9629</v>
      </c>
      <c r="CD257" s="259">
        <f t="shared" si="560"/>
        <v>8133</v>
      </c>
      <c r="CE257" s="213">
        <f t="shared" si="560"/>
        <v>4998</v>
      </c>
      <c r="CF257" s="214">
        <f t="shared" si="560"/>
        <v>0</v>
      </c>
      <c r="CG257" s="214">
        <f t="shared" ref="CG257:CJ257" si="561">+CG104+CG53+CG3+CG155+CG206</f>
        <v>4892</v>
      </c>
      <c r="CH257" s="259">
        <f t="shared" si="561"/>
        <v>7697</v>
      </c>
      <c r="CI257" s="213">
        <f t="shared" si="561"/>
        <v>6376</v>
      </c>
      <c r="CJ257" s="214">
        <f t="shared" si="561"/>
        <v>7125</v>
      </c>
      <c r="CK257" s="214">
        <f t="shared" ref="CK257:CN257" si="562">+CK104+CK53+CK3+CK155+CK206</f>
        <v>5962.6</v>
      </c>
      <c r="CL257" s="259">
        <f t="shared" si="562"/>
        <v>5996</v>
      </c>
      <c r="CM257" s="213">
        <f t="shared" si="562"/>
        <v>5392</v>
      </c>
      <c r="CN257" s="214">
        <f t="shared" si="562"/>
        <v>5905</v>
      </c>
      <c r="CO257" s="214">
        <f t="shared" ref="CO257:CQ257" si="563">+CO104+CO53+CO3+CO155+CO206</f>
        <v>5597</v>
      </c>
      <c r="CP257" s="259">
        <f t="shared" si="563"/>
        <v>5692</v>
      </c>
      <c r="CQ257" s="213">
        <f t="shared" si="563"/>
        <v>4572</v>
      </c>
      <c r="CR257" s="214">
        <f t="shared" ref="CR257:CU257" si="564">+CR104+CR53+CR3+CR155+CR206</f>
        <v>5437</v>
      </c>
      <c r="CS257" s="214">
        <f t="shared" si="564"/>
        <v>5547</v>
      </c>
      <c r="CT257" s="259">
        <f t="shared" si="564"/>
        <v>5164</v>
      </c>
      <c r="CU257" s="213">
        <f t="shared" si="564"/>
        <v>4699</v>
      </c>
      <c r="CV257" s="214">
        <f t="shared" ref="CV257:CX257" si="565">+CV104+CV53+CV3+CV155+CV206</f>
        <v>4902.3</v>
      </c>
      <c r="CW257" s="214">
        <f t="shared" si="565"/>
        <v>0</v>
      </c>
      <c r="CX257" s="259">
        <f t="shared" si="565"/>
        <v>0</v>
      </c>
    </row>
    <row r="258" spans="1:119" x14ac:dyDescent="0.25">
      <c r="A258" s="225"/>
      <c r="B258" s="290" t="s">
        <v>262</v>
      </c>
      <c r="C258" s="8">
        <f t="shared" ref="C258:AH258" si="566">+C105+C54+C4</f>
        <v>463702</v>
      </c>
      <c r="D258" s="8">
        <f t="shared" si="566"/>
        <v>503738</v>
      </c>
      <c r="E258" s="8">
        <f t="shared" si="566"/>
        <v>540444</v>
      </c>
      <c r="F258" s="8">
        <f t="shared" si="566"/>
        <v>568025</v>
      </c>
      <c r="G258" s="8">
        <f t="shared" si="566"/>
        <v>511828</v>
      </c>
      <c r="H258" s="8">
        <f t="shared" si="566"/>
        <v>558597</v>
      </c>
      <c r="I258" s="8">
        <f t="shared" si="566"/>
        <v>533551</v>
      </c>
      <c r="J258" s="8">
        <f t="shared" si="566"/>
        <v>505807</v>
      </c>
      <c r="K258" s="8">
        <f t="shared" si="566"/>
        <v>458447</v>
      </c>
      <c r="L258" s="8">
        <f t="shared" si="566"/>
        <v>517038</v>
      </c>
      <c r="M258" s="8">
        <f t="shared" si="566"/>
        <v>523202</v>
      </c>
      <c r="N258" s="8">
        <f t="shared" si="566"/>
        <v>542739</v>
      </c>
      <c r="O258" s="8">
        <f t="shared" si="566"/>
        <v>483861</v>
      </c>
      <c r="P258" s="8">
        <f t="shared" si="566"/>
        <v>497891</v>
      </c>
      <c r="Q258" s="8">
        <f t="shared" si="566"/>
        <v>452489</v>
      </c>
      <c r="R258" s="8">
        <f t="shared" si="566"/>
        <v>526218</v>
      </c>
      <c r="S258" s="8">
        <f t="shared" si="566"/>
        <v>484041</v>
      </c>
      <c r="T258" s="8">
        <f t="shared" si="566"/>
        <v>501741</v>
      </c>
      <c r="U258" s="8">
        <f t="shared" si="566"/>
        <v>509876</v>
      </c>
      <c r="V258" s="8">
        <f t="shared" si="566"/>
        <v>492063</v>
      </c>
      <c r="W258" s="8">
        <f t="shared" si="566"/>
        <v>466315</v>
      </c>
      <c r="X258" s="8">
        <f t="shared" si="566"/>
        <v>490726</v>
      </c>
      <c r="Y258" s="8">
        <f t="shared" si="566"/>
        <v>496200</v>
      </c>
      <c r="Z258" s="8">
        <f t="shared" si="566"/>
        <v>468184</v>
      </c>
      <c r="AA258" s="8">
        <f t="shared" si="566"/>
        <v>357058</v>
      </c>
      <c r="AB258" s="8">
        <f t="shared" si="566"/>
        <v>404740</v>
      </c>
      <c r="AC258" s="8">
        <f t="shared" si="566"/>
        <v>382564</v>
      </c>
      <c r="AD258" s="8">
        <f t="shared" si="566"/>
        <v>387053</v>
      </c>
      <c r="AE258" s="8">
        <f t="shared" si="566"/>
        <v>367974</v>
      </c>
      <c r="AF258" s="8">
        <f t="shared" si="566"/>
        <v>385187</v>
      </c>
      <c r="AG258" s="8">
        <f t="shared" si="566"/>
        <v>379802</v>
      </c>
      <c r="AH258" s="8">
        <f t="shared" si="566"/>
        <v>376943</v>
      </c>
      <c r="AI258" s="8">
        <f t="shared" ref="AI258:AY258" si="567">+AI105+AI54+AI4</f>
        <v>317122</v>
      </c>
      <c r="AJ258" s="8">
        <f t="shared" si="567"/>
        <v>361444</v>
      </c>
      <c r="AK258" s="8">
        <f t="shared" si="567"/>
        <v>356691</v>
      </c>
      <c r="AL258" s="8">
        <f t="shared" si="567"/>
        <v>338341</v>
      </c>
      <c r="AM258" s="8">
        <f t="shared" si="567"/>
        <v>294091</v>
      </c>
      <c r="AN258" s="8">
        <f t="shared" si="567"/>
        <v>335391</v>
      </c>
      <c r="AO258" s="8">
        <f t="shared" si="567"/>
        <v>273712</v>
      </c>
      <c r="AP258" s="8">
        <f t="shared" si="567"/>
        <v>314611</v>
      </c>
      <c r="AQ258" s="8">
        <f t="shared" si="567"/>
        <v>284579</v>
      </c>
      <c r="AR258" s="8">
        <f t="shared" si="567"/>
        <v>293909</v>
      </c>
      <c r="AS258" s="8">
        <f t="shared" si="567"/>
        <v>252982</v>
      </c>
      <c r="AT258" s="8">
        <f t="shared" si="567"/>
        <v>159746</v>
      </c>
      <c r="AU258" s="8">
        <f t="shared" si="567"/>
        <v>263067</v>
      </c>
      <c r="AV258" s="8">
        <f t="shared" si="567"/>
        <v>280049</v>
      </c>
      <c r="AW258" s="8">
        <f t="shared" si="567"/>
        <v>290057</v>
      </c>
      <c r="AX258" s="8">
        <f t="shared" si="567"/>
        <v>299829</v>
      </c>
      <c r="AY258" s="10">
        <f t="shared" si="567"/>
        <v>232717</v>
      </c>
      <c r="AZ258" s="8">
        <f t="shared" ref="AZ258:BP258" si="568">+AZ105+AZ54+AZ4+AZ156</f>
        <v>294927</v>
      </c>
      <c r="BA258" s="8">
        <f t="shared" si="568"/>
        <v>319968</v>
      </c>
      <c r="BB258" s="9">
        <f t="shared" si="568"/>
        <v>331389</v>
      </c>
      <c r="BC258" s="34">
        <f t="shared" si="568"/>
        <v>309850</v>
      </c>
      <c r="BD258" s="32">
        <f t="shared" si="568"/>
        <v>336141</v>
      </c>
      <c r="BE258" s="32">
        <f t="shared" si="568"/>
        <v>341976</v>
      </c>
      <c r="BF258" s="33">
        <f t="shared" si="568"/>
        <v>325411</v>
      </c>
      <c r="BG258" s="34">
        <f t="shared" si="568"/>
        <v>302976</v>
      </c>
      <c r="BH258" s="32">
        <f t="shared" si="568"/>
        <v>321416</v>
      </c>
      <c r="BI258" s="32">
        <f t="shared" si="568"/>
        <v>280906</v>
      </c>
      <c r="BJ258" s="32">
        <f t="shared" si="568"/>
        <v>296579</v>
      </c>
      <c r="BK258" s="213">
        <f t="shared" si="568"/>
        <v>275523</v>
      </c>
      <c r="BL258" s="214">
        <f t="shared" si="568"/>
        <v>295188</v>
      </c>
      <c r="BM258" s="214">
        <f t="shared" si="568"/>
        <v>289711</v>
      </c>
      <c r="BN258" s="259">
        <f t="shared" si="568"/>
        <v>257892</v>
      </c>
      <c r="BO258" s="213">
        <f t="shared" si="568"/>
        <v>215030</v>
      </c>
      <c r="BP258" s="214">
        <f t="shared" si="568"/>
        <v>234723</v>
      </c>
      <c r="BQ258" s="214">
        <f t="shared" si="557"/>
        <v>210478</v>
      </c>
      <c r="BR258" s="214">
        <f t="shared" si="557"/>
        <v>171908</v>
      </c>
      <c r="BS258" s="213">
        <f t="shared" si="557"/>
        <v>55674</v>
      </c>
      <c r="BT258" s="214">
        <f t="shared" si="557"/>
        <v>103261</v>
      </c>
      <c r="BU258" s="214">
        <f t="shared" si="557"/>
        <v>194380</v>
      </c>
      <c r="BV258" s="259">
        <f t="shared" si="557"/>
        <v>194922</v>
      </c>
      <c r="BW258" s="214">
        <f t="shared" ref="BW258:BY258" si="569">+BW105+BW54+BW4+BW156+BW207</f>
        <v>170691</v>
      </c>
      <c r="BX258" s="214">
        <f t="shared" si="569"/>
        <v>77388</v>
      </c>
      <c r="BY258" s="214">
        <f t="shared" si="569"/>
        <v>161619</v>
      </c>
      <c r="BZ258" s="214">
        <f t="shared" ref="BZ258:CB258" si="570">+BZ105+BZ54+BZ4+BZ156+BZ207</f>
        <v>166033</v>
      </c>
      <c r="CA258" s="213">
        <f t="shared" si="570"/>
        <v>152532</v>
      </c>
      <c r="CB258" s="214">
        <f t="shared" si="570"/>
        <v>186390</v>
      </c>
      <c r="CC258" s="214">
        <f t="shared" ref="CC258:CF258" si="571">+CC105+CC54+CC4+CC156+CC207</f>
        <v>202339</v>
      </c>
      <c r="CD258" s="259">
        <f t="shared" si="571"/>
        <v>161490</v>
      </c>
      <c r="CE258" s="213">
        <f t="shared" si="571"/>
        <v>93127</v>
      </c>
      <c r="CF258" s="214">
        <f t="shared" si="571"/>
        <v>0</v>
      </c>
      <c r="CG258" s="214">
        <f t="shared" ref="CG258:CJ258" si="572">+CG105+CG54+CG4+CG156+CG207</f>
        <v>115820</v>
      </c>
      <c r="CH258" s="259">
        <f t="shared" si="572"/>
        <v>159628</v>
      </c>
      <c r="CI258" s="213">
        <f t="shared" si="572"/>
        <v>139983</v>
      </c>
      <c r="CJ258" s="214">
        <f t="shared" si="572"/>
        <v>157120</v>
      </c>
      <c r="CK258" s="214">
        <f t="shared" ref="CK258:CN258" si="573">+CK105+CK54+CK4+CK156+CK207</f>
        <v>132815</v>
      </c>
      <c r="CL258" s="259">
        <f t="shared" si="573"/>
        <v>138335</v>
      </c>
      <c r="CM258" s="213">
        <f t="shared" si="573"/>
        <v>118477</v>
      </c>
      <c r="CN258" s="214">
        <f t="shared" si="573"/>
        <v>121000</v>
      </c>
      <c r="CO258" s="214">
        <f t="shared" ref="CO258:CQ258" si="574">+CO105+CO54+CO4+CO156+CO207</f>
        <v>133994</v>
      </c>
      <c r="CP258" s="259">
        <f t="shared" si="574"/>
        <v>132458</v>
      </c>
      <c r="CQ258" s="213">
        <f t="shared" si="574"/>
        <v>101423</v>
      </c>
      <c r="CR258" s="214">
        <f t="shared" ref="CR258:CU258" si="575">+CR105+CR54+CR4+CR156+CR207</f>
        <v>125716</v>
      </c>
      <c r="CS258" s="214">
        <f t="shared" si="575"/>
        <v>120247</v>
      </c>
      <c r="CT258" s="259">
        <f t="shared" si="575"/>
        <v>107906</v>
      </c>
      <c r="CU258" s="213">
        <f t="shared" si="575"/>
        <v>96230</v>
      </c>
      <c r="CV258" s="214">
        <f t="shared" ref="CV258:CX258" si="576">+CV105+CV54+CV4+CV156+CV207</f>
        <v>109458</v>
      </c>
      <c r="CW258" s="214">
        <f t="shared" si="576"/>
        <v>0</v>
      </c>
      <c r="CX258" s="259">
        <f t="shared" si="576"/>
        <v>0</v>
      </c>
    </row>
    <row r="259" spans="1:119" x14ac:dyDescent="0.25">
      <c r="A259" s="225"/>
      <c r="B259" s="292" t="s">
        <v>123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10"/>
      <c r="AZ259" s="8"/>
      <c r="BA259" s="8"/>
      <c r="BB259" s="9"/>
      <c r="BC259" s="43"/>
      <c r="BD259" s="32"/>
      <c r="BE259" s="32"/>
      <c r="BF259" s="33"/>
      <c r="BG259" s="43"/>
      <c r="BH259" s="44"/>
      <c r="BI259" s="8"/>
      <c r="BJ259" s="8"/>
      <c r="BK259" s="262"/>
      <c r="BL259" s="249"/>
      <c r="BM259" s="249"/>
      <c r="BN259" s="291"/>
      <c r="BO259" s="262"/>
      <c r="BP259" s="249"/>
      <c r="BQ259" s="249"/>
      <c r="BR259" s="249"/>
      <c r="BS259" s="262"/>
      <c r="BT259" s="249"/>
      <c r="BU259" s="249"/>
      <c r="BV259" s="291"/>
      <c r="BW259" s="249"/>
      <c r="BX259" s="249"/>
      <c r="BY259" s="249"/>
      <c r="BZ259" s="249"/>
      <c r="CA259" s="262"/>
      <c r="CB259" s="249"/>
      <c r="CC259" s="249"/>
      <c r="CD259" s="291"/>
      <c r="CE259" s="262"/>
      <c r="CF259" s="249"/>
      <c r="CG259" s="249"/>
      <c r="CH259" s="291"/>
      <c r="CI259" s="262"/>
      <c r="CJ259" s="249"/>
      <c r="CK259" s="249"/>
      <c r="CL259" s="291"/>
      <c r="CM259" s="262"/>
      <c r="CN259" s="249"/>
      <c r="CO259" s="249"/>
      <c r="CP259" s="291"/>
      <c r="CQ259" s="262"/>
      <c r="CR259" s="249"/>
      <c r="CS259" s="249"/>
      <c r="CT259" s="291"/>
      <c r="CU259" s="262"/>
      <c r="CV259" s="249"/>
      <c r="CW259" s="249"/>
      <c r="CX259" s="291"/>
    </row>
    <row r="260" spans="1:119" x14ac:dyDescent="0.25">
      <c r="A260" s="225"/>
      <c r="B260" s="227" t="s">
        <v>52</v>
      </c>
      <c r="C260" s="8">
        <f t="shared" ref="C260:AH260" si="577">+C107+C56+C6</f>
        <v>2502</v>
      </c>
      <c r="D260" s="8">
        <f t="shared" si="577"/>
        <v>2677</v>
      </c>
      <c r="E260" s="8">
        <f t="shared" si="577"/>
        <v>2852</v>
      </c>
      <c r="F260" s="8">
        <f t="shared" si="577"/>
        <v>2927</v>
      </c>
      <c r="G260" s="8">
        <f t="shared" si="577"/>
        <v>2960</v>
      </c>
      <c r="H260" s="8">
        <f t="shared" si="577"/>
        <v>2939</v>
      </c>
      <c r="I260" s="8">
        <f t="shared" si="577"/>
        <v>3017</v>
      </c>
      <c r="J260" s="8">
        <f t="shared" si="577"/>
        <v>2871</v>
      </c>
      <c r="K260" s="8">
        <f t="shared" si="577"/>
        <v>2585</v>
      </c>
      <c r="L260" s="8">
        <f t="shared" si="577"/>
        <v>2713</v>
      </c>
      <c r="M260" s="8">
        <f t="shared" si="577"/>
        <v>2869</v>
      </c>
      <c r="N260" s="8">
        <f t="shared" si="577"/>
        <v>2891</v>
      </c>
      <c r="O260" s="8">
        <f t="shared" si="577"/>
        <v>2637</v>
      </c>
      <c r="P260" s="8">
        <f t="shared" si="577"/>
        <v>2720</v>
      </c>
      <c r="Q260" s="8">
        <f t="shared" si="577"/>
        <v>2587</v>
      </c>
      <c r="R260" s="8">
        <f t="shared" si="577"/>
        <v>2840</v>
      </c>
      <c r="S260" s="8">
        <f t="shared" si="577"/>
        <v>2563</v>
      </c>
      <c r="T260" s="8">
        <f t="shared" si="577"/>
        <v>2634</v>
      </c>
      <c r="U260" s="8">
        <f t="shared" si="577"/>
        <v>2800</v>
      </c>
      <c r="V260" s="8">
        <f t="shared" si="577"/>
        <v>2765</v>
      </c>
      <c r="W260" s="8">
        <f t="shared" si="577"/>
        <v>2588</v>
      </c>
      <c r="X260" s="8">
        <f t="shared" si="577"/>
        <v>2696</v>
      </c>
      <c r="Y260" s="8">
        <f t="shared" si="577"/>
        <v>2730</v>
      </c>
      <c r="Z260" s="8">
        <f t="shared" si="577"/>
        <v>2627</v>
      </c>
      <c r="AA260" s="8">
        <f t="shared" si="577"/>
        <v>1846</v>
      </c>
      <c r="AB260" s="8">
        <f t="shared" si="577"/>
        <v>2226</v>
      </c>
      <c r="AC260" s="8">
        <f t="shared" si="577"/>
        <v>2117</v>
      </c>
      <c r="AD260" s="8">
        <f t="shared" si="577"/>
        <v>2163</v>
      </c>
      <c r="AE260" s="8">
        <f t="shared" si="577"/>
        <v>2040</v>
      </c>
      <c r="AF260" s="8">
        <f t="shared" si="577"/>
        <v>2206</v>
      </c>
      <c r="AG260" s="8">
        <f t="shared" si="577"/>
        <v>2189</v>
      </c>
      <c r="AH260" s="8">
        <f t="shared" si="577"/>
        <v>2118</v>
      </c>
      <c r="AI260" s="8">
        <f t="shared" ref="AI260:AY260" si="578">+AI107+AI56+AI6</f>
        <v>1715</v>
      </c>
      <c r="AJ260" s="8">
        <f t="shared" si="578"/>
        <v>2137</v>
      </c>
      <c r="AK260" s="8">
        <f t="shared" si="578"/>
        <v>2056</v>
      </c>
      <c r="AL260" s="8">
        <f t="shared" si="578"/>
        <v>2016</v>
      </c>
      <c r="AM260" s="8">
        <f t="shared" si="578"/>
        <v>1591</v>
      </c>
      <c r="AN260" s="8">
        <f t="shared" si="578"/>
        <v>1917</v>
      </c>
      <c r="AO260" s="8">
        <f t="shared" si="578"/>
        <v>1768</v>
      </c>
      <c r="AP260" s="8">
        <f t="shared" si="578"/>
        <v>1879</v>
      </c>
      <c r="AQ260" s="8">
        <f t="shared" si="578"/>
        <v>1529</v>
      </c>
      <c r="AR260" s="8">
        <f t="shared" si="578"/>
        <v>1621</v>
      </c>
      <c r="AS260" s="8">
        <f t="shared" si="578"/>
        <v>1435</v>
      </c>
      <c r="AT260" s="8">
        <f t="shared" si="578"/>
        <v>1171</v>
      </c>
      <c r="AU260" s="8">
        <f t="shared" si="578"/>
        <v>1393</v>
      </c>
      <c r="AV260" s="8">
        <f t="shared" si="578"/>
        <v>1711</v>
      </c>
      <c r="AW260" s="8">
        <f t="shared" si="578"/>
        <v>1785</v>
      </c>
      <c r="AX260" s="8">
        <f t="shared" si="578"/>
        <v>1907</v>
      </c>
      <c r="AY260" s="10">
        <f t="shared" si="578"/>
        <v>1522</v>
      </c>
      <c r="AZ260" s="8">
        <f t="shared" ref="AZ260:BP260" si="579">+AZ107+AZ56+AZ6+AZ158</f>
        <v>1890</v>
      </c>
      <c r="BA260" s="8">
        <f t="shared" si="579"/>
        <v>2228</v>
      </c>
      <c r="BB260" s="9">
        <f t="shared" si="579"/>
        <v>2304</v>
      </c>
      <c r="BC260" s="34">
        <f t="shared" si="579"/>
        <v>1894</v>
      </c>
      <c r="BD260" s="32">
        <f t="shared" si="579"/>
        <v>2151</v>
      </c>
      <c r="BE260" s="32">
        <f t="shared" si="579"/>
        <v>2339</v>
      </c>
      <c r="BF260" s="33">
        <f t="shared" si="579"/>
        <v>2200</v>
      </c>
      <c r="BG260" s="34">
        <f t="shared" si="579"/>
        <v>1975</v>
      </c>
      <c r="BH260" s="32">
        <f t="shared" si="579"/>
        <v>2091</v>
      </c>
      <c r="BI260" s="32">
        <f t="shared" si="579"/>
        <v>2066</v>
      </c>
      <c r="BJ260" s="32">
        <f t="shared" si="579"/>
        <v>1952</v>
      </c>
      <c r="BK260" s="213">
        <f t="shared" si="579"/>
        <v>1852</v>
      </c>
      <c r="BL260" s="214">
        <f t="shared" si="579"/>
        <v>1979</v>
      </c>
      <c r="BM260" s="214">
        <f t="shared" si="579"/>
        <v>2007</v>
      </c>
      <c r="BN260" s="259">
        <f t="shared" si="579"/>
        <v>1737</v>
      </c>
      <c r="BO260" s="213">
        <f t="shared" si="579"/>
        <v>1525</v>
      </c>
      <c r="BP260" s="214">
        <f t="shared" si="579"/>
        <v>1619</v>
      </c>
      <c r="BQ260" s="214">
        <f t="shared" ref="BQ260:BV261" si="580">+BQ107+BQ56+BQ6+BQ158+BQ209</f>
        <v>1534</v>
      </c>
      <c r="BR260" s="214">
        <f t="shared" si="580"/>
        <v>1138</v>
      </c>
      <c r="BS260" s="213">
        <f t="shared" si="580"/>
        <v>411</v>
      </c>
      <c r="BT260" s="214">
        <f t="shared" si="580"/>
        <v>834</v>
      </c>
      <c r="BU260" s="214">
        <f t="shared" si="580"/>
        <v>1446</v>
      </c>
      <c r="BV260" s="259">
        <f t="shared" si="580"/>
        <v>1392.7996960271503</v>
      </c>
      <c r="BW260" s="214">
        <f t="shared" ref="BW260:BX260" si="581">+BW107+BW56+BW6+BW158+BW209</f>
        <v>1191</v>
      </c>
      <c r="BX260" s="214">
        <f t="shared" si="581"/>
        <v>533</v>
      </c>
      <c r="BY260" s="214">
        <f t="shared" ref="BY260:BZ260" si="582">+BY107+BY56+BY6+BY158+BY209</f>
        <v>1213</v>
      </c>
      <c r="BZ260" s="214">
        <f t="shared" si="582"/>
        <v>1265</v>
      </c>
      <c r="CA260" s="213">
        <f t="shared" ref="CA260:CB260" si="583">+CA107+CA56+CA6+CA158+CA209</f>
        <v>1206</v>
      </c>
      <c r="CB260" s="214">
        <f t="shared" si="583"/>
        <v>1357</v>
      </c>
      <c r="CC260" s="214">
        <f t="shared" ref="CC260:CF260" si="584">+CC107+CC56+CC6+CC158+CC209</f>
        <v>1474</v>
      </c>
      <c r="CD260" s="259">
        <f t="shared" si="584"/>
        <v>1125</v>
      </c>
      <c r="CE260" s="213">
        <f t="shared" si="584"/>
        <v>492</v>
      </c>
      <c r="CF260" s="214">
        <f t="shared" si="584"/>
        <v>0</v>
      </c>
      <c r="CG260" s="214">
        <f>+CG107+CG56+CG6+CG158+CG209+1</f>
        <v>1117.3</v>
      </c>
      <c r="CH260" s="259">
        <f t="shared" ref="CH260:CJ260" si="585">+CH107+CH56+CH6+CH158+CH209</f>
        <v>1152</v>
      </c>
      <c r="CI260" s="213">
        <f>+CI107+CI56+CI6+CI158+CI209+1</f>
        <v>1066</v>
      </c>
      <c r="CJ260" s="214">
        <f t="shared" si="585"/>
        <v>1120</v>
      </c>
      <c r="CK260" s="214">
        <f>+CK107+CK56+CK6+CK158+CK209</f>
        <v>966</v>
      </c>
      <c r="CL260" s="259">
        <f>+CL107+CL56+CL6+CL158+CL209+1</f>
        <v>904</v>
      </c>
      <c r="CM260" s="213">
        <f>+CM107+CM56+CM6+CM158+CM209</f>
        <v>882</v>
      </c>
      <c r="CN260" s="214">
        <f t="shared" ref="CN260" si="586">+CN107+CN56+CN6+CN158+CN209</f>
        <v>853</v>
      </c>
      <c r="CO260" s="214">
        <f>+CO107+CO56+CO6+CO158+CO209</f>
        <v>929</v>
      </c>
      <c r="CP260" s="259">
        <f>+CP107+CP56+CP6+CP158+CP209</f>
        <v>931</v>
      </c>
      <c r="CQ260" s="213">
        <f>+CQ107+CQ56+CQ6+CQ158+CQ209</f>
        <v>741</v>
      </c>
      <c r="CR260" s="214">
        <f t="shared" ref="CR260:CT260" si="587">+CR107+CR56+CR6+CR158+CR209</f>
        <v>773.75599999999997</v>
      </c>
      <c r="CS260" s="214">
        <f>+CS107+CS56+CS6+CS158+CS209-1</f>
        <v>864</v>
      </c>
      <c r="CT260" s="259">
        <f t="shared" si="587"/>
        <v>829.01300000000003</v>
      </c>
      <c r="CU260" s="213">
        <f>+CU107+CU56+CU6+CU158+CU209</f>
        <v>745</v>
      </c>
      <c r="CV260" s="214">
        <f t="shared" ref="CV260" si="588">+CV107+CV56+CV6+CV158+CV209</f>
        <v>721</v>
      </c>
      <c r="CW260" s="214">
        <f>+CW107+CW56+CW6+CW158+CW209</f>
        <v>0</v>
      </c>
      <c r="CX260" s="259">
        <f t="shared" ref="CX260" si="589">+CX107+CX56+CX6+CX158+CX209</f>
        <v>0</v>
      </c>
    </row>
    <row r="261" spans="1:119" x14ac:dyDescent="0.25">
      <c r="A261" s="225"/>
      <c r="B261" s="227" t="s">
        <v>53</v>
      </c>
      <c r="C261" s="8">
        <f t="shared" ref="C261:AH261" si="590">+C108+C57+C7</f>
        <v>1249</v>
      </c>
      <c r="D261" s="8">
        <f t="shared" si="590"/>
        <v>1375</v>
      </c>
      <c r="E261" s="8">
        <f t="shared" si="590"/>
        <v>1049</v>
      </c>
      <c r="F261" s="8">
        <f t="shared" si="590"/>
        <v>890</v>
      </c>
      <c r="G261" s="8">
        <f t="shared" si="590"/>
        <v>1187</v>
      </c>
      <c r="H261" s="8">
        <f t="shared" si="590"/>
        <v>1126</v>
      </c>
      <c r="I261" s="8">
        <f t="shared" si="590"/>
        <v>1216</v>
      </c>
      <c r="J261" s="8">
        <f t="shared" si="590"/>
        <v>1361</v>
      </c>
      <c r="K261" s="8">
        <f t="shared" si="590"/>
        <v>1750</v>
      </c>
      <c r="L261" s="8">
        <f t="shared" si="590"/>
        <v>1356</v>
      </c>
      <c r="M261" s="8">
        <f t="shared" si="590"/>
        <v>1110</v>
      </c>
      <c r="N261" s="8">
        <f t="shared" si="590"/>
        <v>1122</v>
      </c>
      <c r="O261" s="8">
        <f t="shared" si="590"/>
        <v>1346</v>
      </c>
      <c r="P261" s="8">
        <f t="shared" si="590"/>
        <v>835</v>
      </c>
      <c r="Q261" s="8">
        <f t="shared" si="590"/>
        <v>733</v>
      </c>
      <c r="R261" s="8">
        <f t="shared" si="590"/>
        <v>725</v>
      </c>
      <c r="S261" s="8">
        <f t="shared" si="590"/>
        <v>1022</v>
      </c>
      <c r="T261" s="8">
        <f t="shared" si="590"/>
        <v>980</v>
      </c>
      <c r="U261" s="8">
        <f t="shared" si="590"/>
        <v>879</v>
      </c>
      <c r="V261" s="8">
        <f t="shared" si="590"/>
        <v>829</v>
      </c>
      <c r="W261" s="8">
        <f t="shared" si="590"/>
        <v>773</v>
      </c>
      <c r="X261" s="8">
        <f t="shared" si="590"/>
        <v>741</v>
      </c>
      <c r="Y261" s="8">
        <f t="shared" si="590"/>
        <v>709</v>
      </c>
      <c r="Z261" s="8">
        <f t="shared" si="590"/>
        <v>727</v>
      </c>
      <c r="AA261" s="8">
        <f t="shared" si="590"/>
        <v>1044</v>
      </c>
      <c r="AB261" s="8">
        <f t="shared" si="590"/>
        <v>1240</v>
      </c>
      <c r="AC261" s="8">
        <f t="shared" si="590"/>
        <v>1180</v>
      </c>
      <c r="AD261" s="8">
        <f t="shared" si="590"/>
        <v>1011</v>
      </c>
      <c r="AE261" s="8">
        <f t="shared" si="590"/>
        <v>815</v>
      </c>
      <c r="AF261" s="8">
        <f t="shared" si="590"/>
        <v>995</v>
      </c>
      <c r="AG261" s="8">
        <f t="shared" si="590"/>
        <v>1183</v>
      </c>
      <c r="AH261" s="8">
        <f t="shared" si="590"/>
        <v>1320</v>
      </c>
      <c r="AI261" s="8">
        <f t="shared" ref="AI261:AY261" si="591">+AI108+AI57+AI7</f>
        <v>1441</v>
      </c>
      <c r="AJ261" s="8">
        <f t="shared" si="591"/>
        <v>1331</v>
      </c>
      <c r="AK261" s="8">
        <f t="shared" si="591"/>
        <v>1508</v>
      </c>
      <c r="AL261" s="8">
        <f t="shared" si="591"/>
        <v>1537</v>
      </c>
      <c r="AM261" s="8">
        <f t="shared" si="591"/>
        <v>1851</v>
      </c>
      <c r="AN261" s="8">
        <f t="shared" si="591"/>
        <v>1801</v>
      </c>
      <c r="AO261" s="8">
        <f t="shared" si="591"/>
        <v>1936</v>
      </c>
      <c r="AP261" s="8">
        <f t="shared" si="591"/>
        <v>1905</v>
      </c>
      <c r="AQ261" s="8">
        <f t="shared" si="591"/>
        <v>1974</v>
      </c>
      <c r="AR261" s="8">
        <f t="shared" si="591"/>
        <v>1669</v>
      </c>
      <c r="AS261" s="8">
        <f t="shared" si="591"/>
        <v>1608</v>
      </c>
      <c r="AT261" s="8">
        <f t="shared" si="591"/>
        <v>1178</v>
      </c>
      <c r="AU261" s="8">
        <f t="shared" si="591"/>
        <v>1613</v>
      </c>
      <c r="AV261" s="8">
        <f t="shared" si="591"/>
        <v>1719</v>
      </c>
      <c r="AW261" s="8">
        <f t="shared" si="591"/>
        <v>1825</v>
      </c>
      <c r="AX261" s="8">
        <f t="shared" si="591"/>
        <v>1671</v>
      </c>
      <c r="AY261" s="10">
        <f t="shared" si="591"/>
        <v>1919</v>
      </c>
      <c r="AZ261" s="8">
        <f t="shared" ref="AZ261:BP261" si="592">+AZ108+AZ57+AZ7+AZ159</f>
        <v>2452</v>
      </c>
      <c r="BA261" s="8">
        <f t="shared" si="592"/>
        <v>2823</v>
      </c>
      <c r="BB261" s="9">
        <f t="shared" si="592"/>
        <v>3097</v>
      </c>
      <c r="BC261" s="34">
        <f t="shared" si="592"/>
        <v>2971</v>
      </c>
      <c r="BD261" s="32">
        <f t="shared" si="592"/>
        <v>2716</v>
      </c>
      <c r="BE261" s="32">
        <f t="shared" si="592"/>
        <v>2765</v>
      </c>
      <c r="BF261" s="33">
        <f t="shared" si="592"/>
        <v>2825</v>
      </c>
      <c r="BG261" s="34">
        <f t="shared" si="592"/>
        <v>3003</v>
      </c>
      <c r="BH261" s="32">
        <f t="shared" si="592"/>
        <v>2938</v>
      </c>
      <c r="BI261" s="32">
        <f t="shared" si="592"/>
        <v>3172</v>
      </c>
      <c r="BJ261" s="32">
        <f t="shared" si="592"/>
        <v>2984</v>
      </c>
      <c r="BK261" s="213">
        <f t="shared" si="592"/>
        <v>3006</v>
      </c>
      <c r="BL261" s="214">
        <f t="shared" si="592"/>
        <v>3028</v>
      </c>
      <c r="BM261" s="214">
        <f t="shared" si="592"/>
        <v>2917</v>
      </c>
      <c r="BN261" s="259">
        <f t="shared" si="592"/>
        <v>2504</v>
      </c>
      <c r="BO261" s="213">
        <f t="shared" si="592"/>
        <v>2758</v>
      </c>
      <c r="BP261" s="214">
        <f t="shared" si="592"/>
        <v>3153</v>
      </c>
      <c r="BQ261" s="214">
        <f t="shared" si="580"/>
        <v>6981</v>
      </c>
      <c r="BR261" s="214">
        <f t="shared" si="580"/>
        <v>8496</v>
      </c>
      <c r="BS261" s="213">
        <f t="shared" si="580"/>
        <v>8918</v>
      </c>
      <c r="BT261" s="214">
        <f t="shared" si="580"/>
        <v>9680</v>
      </c>
      <c r="BU261" s="214">
        <f t="shared" si="580"/>
        <v>9461</v>
      </c>
      <c r="BV261" s="259">
        <f t="shared" si="580"/>
        <v>9355.1236456180613</v>
      </c>
      <c r="BW261" s="214">
        <f t="shared" ref="BW261:BX261" si="593">+BW108+BW57+BW7+BW159+BW210</f>
        <v>8703</v>
      </c>
      <c r="BX261" s="214">
        <f t="shared" si="593"/>
        <v>8230</v>
      </c>
      <c r="BY261" s="214">
        <f t="shared" ref="BY261:BZ261" si="594">+BY108+BY57+BY7+BY159+BY210</f>
        <v>10186</v>
      </c>
      <c r="BZ261" s="214">
        <f t="shared" si="594"/>
        <v>9905</v>
      </c>
      <c r="CA261" s="213">
        <f t="shared" ref="CA261:CB261" si="595">+CA108+CA57+CA7+CA159+CA210</f>
        <v>9944</v>
      </c>
      <c r="CB261" s="214">
        <f t="shared" si="595"/>
        <v>10055</v>
      </c>
      <c r="CC261" s="214">
        <f t="shared" ref="CC261:CF261" si="596">+CC108+CC57+CC7+CC159+CC210</f>
        <v>9725</v>
      </c>
      <c r="CD261" s="259">
        <f t="shared" si="596"/>
        <v>9516</v>
      </c>
      <c r="CE261" s="213">
        <f t="shared" si="596"/>
        <v>8256</v>
      </c>
      <c r="CF261" s="214">
        <f t="shared" si="596"/>
        <v>8123</v>
      </c>
      <c r="CG261" s="214">
        <f t="shared" ref="CG261:CI261" si="597">+CG108+CG57+CG7+CG159+CG210</f>
        <v>9120.4</v>
      </c>
      <c r="CH261" s="259">
        <f t="shared" si="597"/>
        <v>7912</v>
      </c>
      <c r="CI261" s="213">
        <f t="shared" si="597"/>
        <v>7015</v>
      </c>
      <c r="CJ261" s="214">
        <f>+CJ108+CJ57+CJ7+CJ159+CJ210-1</f>
        <v>6550</v>
      </c>
      <c r="CK261" s="214">
        <f>+CK108+CK57+CK7+CK159+CK210-1</f>
        <v>7279</v>
      </c>
      <c r="CL261" s="259">
        <f>+CL108+CL57+CL7+CL159+CL210-1</f>
        <v>7041</v>
      </c>
      <c r="CM261" s="213">
        <f>+CM108+CM57+CM7+CM159+CM210-1</f>
        <v>6659</v>
      </c>
      <c r="CN261" s="214">
        <f>+CN108+CN57+CN7+CN159+CN210+1</f>
        <v>7402</v>
      </c>
      <c r="CO261" s="214">
        <f>+CO108+CO57+CO7+CO159+CO210</f>
        <v>8066</v>
      </c>
      <c r="CP261" s="259">
        <f>+CP108+CP57+CP7+CP159+CP210+1</f>
        <v>7800.2110000000002</v>
      </c>
      <c r="CQ261" s="213">
        <f>+CQ108+CQ57+CQ7+CQ159+CQ210</f>
        <v>7153</v>
      </c>
      <c r="CR261" s="214">
        <f t="shared" ref="CR261:CT261" si="598">+CR108+CR57+CR7+CR159+CR210</f>
        <v>8011.6990000000005</v>
      </c>
      <c r="CS261" s="214">
        <f t="shared" si="598"/>
        <v>7544</v>
      </c>
      <c r="CT261" s="259">
        <f t="shared" si="598"/>
        <v>6898</v>
      </c>
      <c r="CU261" s="213">
        <f>+CU108+CU57+CU7+CU159+CU210</f>
        <v>7397</v>
      </c>
      <c r="CV261" s="214">
        <f>+CV108+CV57+CV7+CV159+CV210+1</f>
        <v>7660</v>
      </c>
      <c r="CW261" s="214">
        <f t="shared" ref="CW261:CX261" si="599">+CW108+CW57+CW7+CW159+CW210</f>
        <v>0</v>
      </c>
      <c r="CX261" s="259">
        <f t="shared" si="599"/>
        <v>0</v>
      </c>
    </row>
    <row r="262" spans="1:119" s="1" customFormat="1" x14ac:dyDescent="0.25">
      <c r="A262" s="306"/>
      <c r="B262" s="290" t="s">
        <v>54</v>
      </c>
      <c r="C262" s="63">
        <f t="shared" ref="C262:AH262" si="600">+C109+C58+C8</f>
        <v>3751</v>
      </c>
      <c r="D262" s="63">
        <f t="shared" si="600"/>
        <v>4052</v>
      </c>
      <c r="E262" s="63">
        <f t="shared" si="600"/>
        <v>3901</v>
      </c>
      <c r="F262" s="63">
        <f t="shared" si="600"/>
        <v>3817</v>
      </c>
      <c r="G262" s="63">
        <f t="shared" si="600"/>
        <v>4147</v>
      </c>
      <c r="H262" s="63">
        <f t="shared" si="600"/>
        <v>4065</v>
      </c>
      <c r="I262" s="63">
        <f t="shared" si="600"/>
        <v>4233</v>
      </c>
      <c r="J262" s="63">
        <f t="shared" si="600"/>
        <v>4232</v>
      </c>
      <c r="K262" s="63">
        <f t="shared" si="600"/>
        <v>4335</v>
      </c>
      <c r="L262" s="63">
        <f t="shared" si="600"/>
        <v>4069</v>
      </c>
      <c r="M262" s="63">
        <f t="shared" si="600"/>
        <v>3979</v>
      </c>
      <c r="N262" s="63">
        <f t="shared" si="600"/>
        <v>4013</v>
      </c>
      <c r="O262" s="63">
        <f t="shared" si="600"/>
        <v>3983</v>
      </c>
      <c r="P262" s="63">
        <f t="shared" si="600"/>
        <v>3555</v>
      </c>
      <c r="Q262" s="63">
        <f t="shared" si="600"/>
        <v>3320</v>
      </c>
      <c r="R262" s="63">
        <f t="shared" si="600"/>
        <v>3565</v>
      </c>
      <c r="S262" s="63">
        <f t="shared" si="600"/>
        <v>3585</v>
      </c>
      <c r="T262" s="63">
        <f t="shared" si="600"/>
        <v>3614</v>
      </c>
      <c r="U262" s="63">
        <f t="shared" si="600"/>
        <v>3679</v>
      </c>
      <c r="V262" s="63">
        <f t="shared" si="600"/>
        <v>3594</v>
      </c>
      <c r="W262" s="63">
        <f t="shared" si="600"/>
        <v>3361</v>
      </c>
      <c r="X262" s="63">
        <f t="shared" si="600"/>
        <v>3437</v>
      </c>
      <c r="Y262" s="63">
        <f t="shared" si="600"/>
        <v>3439</v>
      </c>
      <c r="Z262" s="63">
        <f t="shared" si="600"/>
        <v>3354</v>
      </c>
      <c r="AA262" s="63">
        <f t="shared" si="600"/>
        <v>2890</v>
      </c>
      <c r="AB262" s="63">
        <f t="shared" si="600"/>
        <v>3466</v>
      </c>
      <c r="AC262" s="63">
        <f t="shared" si="600"/>
        <v>3297</v>
      </c>
      <c r="AD262" s="63">
        <f t="shared" si="600"/>
        <v>3174</v>
      </c>
      <c r="AE262" s="63">
        <f t="shared" si="600"/>
        <v>2855</v>
      </c>
      <c r="AF262" s="63">
        <f t="shared" si="600"/>
        <v>3201</v>
      </c>
      <c r="AG262" s="63">
        <f t="shared" si="600"/>
        <v>3372</v>
      </c>
      <c r="AH262" s="63">
        <f t="shared" si="600"/>
        <v>3438</v>
      </c>
      <c r="AI262" s="63">
        <f t="shared" ref="AI262:AY262" si="601">+AI109+AI58+AI8</f>
        <v>3156</v>
      </c>
      <c r="AJ262" s="63">
        <f t="shared" si="601"/>
        <v>3468</v>
      </c>
      <c r="AK262" s="63">
        <f t="shared" si="601"/>
        <v>3564</v>
      </c>
      <c r="AL262" s="63">
        <f t="shared" si="601"/>
        <v>3553</v>
      </c>
      <c r="AM262" s="63">
        <f t="shared" si="601"/>
        <v>3442</v>
      </c>
      <c r="AN262" s="63">
        <f t="shared" si="601"/>
        <v>3718</v>
      </c>
      <c r="AO262" s="63">
        <f t="shared" si="601"/>
        <v>3704</v>
      </c>
      <c r="AP262" s="63">
        <f t="shared" si="601"/>
        <v>3784</v>
      </c>
      <c r="AQ262" s="63">
        <f t="shared" si="601"/>
        <v>3503</v>
      </c>
      <c r="AR262" s="63">
        <f t="shared" si="601"/>
        <v>3290</v>
      </c>
      <c r="AS262" s="63">
        <f t="shared" si="601"/>
        <v>3043</v>
      </c>
      <c r="AT262" s="63">
        <f t="shared" si="601"/>
        <v>2349</v>
      </c>
      <c r="AU262" s="63">
        <f t="shared" si="601"/>
        <v>3006</v>
      </c>
      <c r="AV262" s="63">
        <f t="shared" si="601"/>
        <v>3430</v>
      </c>
      <c r="AW262" s="63">
        <f t="shared" si="601"/>
        <v>3610</v>
      </c>
      <c r="AX262" s="63">
        <f t="shared" si="601"/>
        <v>3578</v>
      </c>
      <c r="AY262" s="62">
        <f t="shared" si="601"/>
        <v>3441</v>
      </c>
      <c r="AZ262" s="63">
        <f t="shared" ref="AZ262:BP262" si="602">+AZ109+AZ58+AZ8+AZ160</f>
        <v>4342</v>
      </c>
      <c r="BA262" s="63">
        <f t="shared" si="602"/>
        <v>5051</v>
      </c>
      <c r="BB262" s="64">
        <f t="shared" si="602"/>
        <v>5401</v>
      </c>
      <c r="BC262" s="65">
        <f t="shared" si="602"/>
        <v>4865</v>
      </c>
      <c r="BD262" s="66">
        <f t="shared" si="602"/>
        <v>4867</v>
      </c>
      <c r="BE262" s="66">
        <f t="shared" si="602"/>
        <v>5104</v>
      </c>
      <c r="BF262" s="67">
        <f t="shared" si="602"/>
        <v>5025</v>
      </c>
      <c r="BG262" s="65">
        <f t="shared" si="602"/>
        <v>4978</v>
      </c>
      <c r="BH262" s="66">
        <f t="shared" si="602"/>
        <v>5029</v>
      </c>
      <c r="BI262" s="66">
        <f t="shared" si="602"/>
        <v>5238</v>
      </c>
      <c r="BJ262" s="66">
        <f t="shared" si="602"/>
        <v>4936</v>
      </c>
      <c r="BK262" s="109">
        <f t="shared" si="602"/>
        <v>4858</v>
      </c>
      <c r="BL262" s="110">
        <f t="shared" si="602"/>
        <v>5007</v>
      </c>
      <c r="BM262" s="110">
        <f t="shared" si="602"/>
        <v>4924</v>
      </c>
      <c r="BN262" s="111">
        <f t="shared" si="602"/>
        <v>4241</v>
      </c>
      <c r="BO262" s="109">
        <f t="shared" si="602"/>
        <v>4283</v>
      </c>
      <c r="BP262" s="110">
        <f t="shared" si="602"/>
        <v>4772</v>
      </c>
      <c r="BQ262" s="110">
        <f t="shared" ref="BQ262:BV262" si="603">+BQ109+BQ58+BQ8+BQ160+BQ211</f>
        <v>8515</v>
      </c>
      <c r="BR262" s="110">
        <f t="shared" si="603"/>
        <v>9634</v>
      </c>
      <c r="BS262" s="109">
        <f t="shared" si="603"/>
        <v>9329</v>
      </c>
      <c r="BT262" s="110">
        <f t="shared" si="603"/>
        <v>10514</v>
      </c>
      <c r="BU262" s="110">
        <f t="shared" si="603"/>
        <v>10907</v>
      </c>
      <c r="BV262" s="111">
        <f t="shared" si="603"/>
        <v>10747.923341645212</v>
      </c>
      <c r="BW262" s="110">
        <f t="shared" ref="BW262:BX262" si="604">+BW109+BW58+BW8+BW160+BW211</f>
        <v>9894</v>
      </c>
      <c r="BX262" s="110">
        <f t="shared" si="604"/>
        <v>8763</v>
      </c>
      <c r="BY262" s="110">
        <f t="shared" ref="BY262:BZ262" si="605">+BY109+BY58+BY8+BY160+BY211</f>
        <v>11399</v>
      </c>
      <c r="BZ262" s="110">
        <f t="shared" si="605"/>
        <v>11170</v>
      </c>
      <c r="CA262" s="109">
        <f t="shared" ref="CA262:CB262" si="606">+CA109+CA58+CA8+CA160+CA211</f>
        <v>11150</v>
      </c>
      <c r="CB262" s="110">
        <f t="shared" si="606"/>
        <v>11412</v>
      </c>
      <c r="CC262" s="110">
        <f t="shared" ref="CC262:CF262" si="607">+CC109+CC58+CC8+CC160+CC211</f>
        <v>11199</v>
      </c>
      <c r="CD262" s="111">
        <f t="shared" si="607"/>
        <v>10641</v>
      </c>
      <c r="CE262" s="109">
        <f t="shared" si="607"/>
        <v>8748</v>
      </c>
      <c r="CF262" s="110">
        <f t="shared" si="607"/>
        <v>8123</v>
      </c>
      <c r="CG262" s="110">
        <f t="shared" ref="CG262:CJ262" si="608">+CG109+CG58+CG8+CG160+CG211</f>
        <v>10236.700000000001</v>
      </c>
      <c r="CH262" s="111">
        <f t="shared" si="608"/>
        <v>9064</v>
      </c>
      <c r="CI262" s="109">
        <f>+CI109+CI58+CI8+CI160+CI211+1</f>
        <v>8081</v>
      </c>
      <c r="CJ262" s="110">
        <f t="shared" si="608"/>
        <v>7670</v>
      </c>
      <c r="CK262" s="110">
        <f t="shared" ref="CK262:CL262" si="609">+CK109+CK58+CK8+CK160+CK211</f>
        <v>8245</v>
      </c>
      <c r="CL262" s="111">
        <f t="shared" si="609"/>
        <v>7945</v>
      </c>
      <c r="CM262" s="109">
        <f>+CM109+CM58+CM8+CM160+CM211-1</f>
        <v>7541</v>
      </c>
      <c r="CN262" s="110">
        <f t="shared" ref="CN262" si="610">+CN109+CN58+CN8+CN160+CN211</f>
        <v>8255</v>
      </c>
      <c r="CO262" s="110">
        <f>+CO109+CO58+CO8+CO160+CO211+1</f>
        <v>8995</v>
      </c>
      <c r="CP262" s="111">
        <f>+CP109+CP58+CP8+CP160+CP211+1</f>
        <v>8730.2109999999993</v>
      </c>
      <c r="CQ262" s="109">
        <f>+CQ109+CQ58+CQ8+CQ160+CQ211+1</f>
        <v>7894</v>
      </c>
      <c r="CR262" s="110">
        <f>+CR109+CR58+CR8+CR160+CR211+1</f>
        <v>8786.4549999999999</v>
      </c>
      <c r="CS262" s="110">
        <f>+CS109+CS58+CS8+CS160+CS211-2</f>
        <v>8408</v>
      </c>
      <c r="CT262" s="111">
        <f>+CT109+CT58+CT8+CT160+CT211</f>
        <v>7727.0129999999999</v>
      </c>
      <c r="CU262" s="109">
        <f>+CU109+CU58+CU8+CU160+CU211</f>
        <v>8142</v>
      </c>
      <c r="CV262" s="110">
        <f>+CV109+CV58+CV8+CV160+CV211+1</f>
        <v>8381</v>
      </c>
      <c r="CW262" s="110">
        <f>+CW109+CW58+CW8+CW160+CW211</f>
        <v>0</v>
      </c>
      <c r="CX262" s="111">
        <f>+CX109+CX58+CX8+CX160+CX211</f>
        <v>0</v>
      </c>
      <c r="CY262" s="347"/>
      <c r="CZ262" s="347"/>
      <c r="DA262" s="347"/>
      <c r="DB262" s="347"/>
      <c r="DC262" s="347"/>
      <c r="DD262" s="347"/>
      <c r="DE262" s="347"/>
      <c r="DF262" s="347"/>
      <c r="DG262" s="347"/>
      <c r="DH262" s="347"/>
      <c r="DI262" s="347"/>
      <c r="DJ262" s="347"/>
      <c r="DK262" s="347"/>
      <c r="DL262" s="347"/>
      <c r="DM262" s="347"/>
      <c r="DN262" s="347"/>
      <c r="DO262" s="347"/>
    </row>
    <row r="263" spans="1:119" x14ac:dyDescent="0.25">
      <c r="A263" s="225"/>
      <c r="B263" s="292" t="s">
        <v>55</v>
      </c>
      <c r="AY263" s="22"/>
      <c r="BB263" s="23"/>
      <c r="BC263" s="49"/>
      <c r="BD263" s="50"/>
      <c r="BE263" s="50"/>
      <c r="BF263" s="51"/>
      <c r="BG263" s="49"/>
      <c r="BH263" s="50"/>
      <c r="BK263" s="225"/>
      <c r="BL263" s="208"/>
      <c r="BM263" s="208"/>
      <c r="BN263" s="227"/>
      <c r="BO263" s="225"/>
      <c r="BP263" s="208"/>
      <c r="BQ263" s="208"/>
      <c r="BR263" s="208"/>
      <c r="BS263" s="225"/>
      <c r="BT263" s="208"/>
      <c r="BU263" s="208"/>
      <c r="BV263" s="227"/>
      <c r="BW263" s="208"/>
      <c r="BX263" s="208"/>
      <c r="BY263" s="208"/>
      <c r="BZ263" s="208"/>
      <c r="CA263" s="225"/>
      <c r="CB263" s="208"/>
      <c r="CC263" s="208"/>
      <c r="CD263" s="227"/>
      <c r="CE263" s="225"/>
      <c r="CF263" s="208"/>
      <c r="CG263" s="208"/>
      <c r="CH263" s="227"/>
      <c r="CI263" s="225"/>
      <c r="CJ263" s="208"/>
      <c r="CK263" s="208"/>
      <c r="CL263" s="227"/>
      <c r="CM263" s="225"/>
      <c r="CN263" s="208"/>
      <c r="CO263" s="208"/>
      <c r="CP263" s="227"/>
      <c r="CQ263" s="225"/>
      <c r="CR263" s="208"/>
      <c r="CS263" s="208"/>
      <c r="CT263" s="227"/>
      <c r="CU263" s="225"/>
      <c r="CV263" s="208"/>
      <c r="CW263" s="208"/>
      <c r="CX263" s="227"/>
    </row>
    <row r="264" spans="1:119" x14ac:dyDescent="0.25">
      <c r="A264" s="225"/>
      <c r="B264" s="227" t="s">
        <v>52</v>
      </c>
      <c r="C264" s="26">
        <f t="shared" ref="C264:BH266" si="611">+C268/C260</f>
        <v>8.6215027977617904</v>
      </c>
      <c r="D264" s="26">
        <f t="shared" si="611"/>
        <v>8.5360478147179677</v>
      </c>
      <c r="E264" s="26">
        <f t="shared" si="611"/>
        <v>7.9077840112201967</v>
      </c>
      <c r="F264" s="26">
        <f t="shared" si="611"/>
        <v>7.6932012299282544</v>
      </c>
      <c r="G264" s="26">
        <f t="shared" si="611"/>
        <v>7.3118243243243244</v>
      </c>
      <c r="H264" s="26">
        <f t="shared" si="611"/>
        <v>7.0483157536577066</v>
      </c>
      <c r="I264" s="26">
        <f t="shared" si="611"/>
        <v>6.8213457076566124</v>
      </c>
      <c r="J264" s="26">
        <f t="shared" si="611"/>
        <v>6.8836642284918144</v>
      </c>
      <c r="K264" s="26">
        <f t="shared" si="611"/>
        <v>7.424758220502901</v>
      </c>
      <c r="L264" s="26">
        <f t="shared" si="611"/>
        <v>7.4308883155178771</v>
      </c>
      <c r="M264" s="26">
        <f t="shared" si="611"/>
        <v>7.1003834088532587</v>
      </c>
      <c r="N264" s="26">
        <f t="shared" si="611"/>
        <v>7.2452438602559672</v>
      </c>
      <c r="O264" s="26">
        <f t="shared" si="611"/>
        <v>7.9089874857792948</v>
      </c>
      <c r="P264" s="26">
        <f t="shared" si="611"/>
        <v>7.3860294117647056</v>
      </c>
      <c r="Q264" s="26">
        <f t="shared" si="611"/>
        <v>7.3478933127174333</v>
      </c>
      <c r="R264" s="26">
        <f t="shared" si="611"/>
        <v>7.2584507042253525</v>
      </c>
      <c r="S264" s="26">
        <f t="shared" si="611"/>
        <v>7.1982052282481463</v>
      </c>
      <c r="T264" s="26">
        <f t="shared" si="611"/>
        <v>7.5265755504935461</v>
      </c>
      <c r="U264" s="26">
        <f t="shared" si="611"/>
        <v>6.8882142857142856</v>
      </c>
      <c r="V264" s="26">
        <f t="shared" si="611"/>
        <v>6.7428571428571429</v>
      </c>
      <c r="W264" s="26">
        <f t="shared" si="611"/>
        <v>6.7948222565687786</v>
      </c>
      <c r="X264" s="26">
        <f t="shared" si="611"/>
        <v>6.8479228486646884</v>
      </c>
      <c r="Y264" s="26">
        <f t="shared" si="611"/>
        <v>6.8007326007326006</v>
      </c>
      <c r="Z264" s="26">
        <f t="shared" si="611"/>
        <v>6.7651313285116101</v>
      </c>
      <c r="AA264" s="26">
        <f t="shared" si="611"/>
        <v>7.263271939328277</v>
      </c>
      <c r="AB264" s="26">
        <f t="shared" si="611"/>
        <v>6.7641509433962268</v>
      </c>
      <c r="AC264" s="26">
        <f t="shared" si="611"/>
        <v>6.4501653282947569</v>
      </c>
      <c r="AD264" s="26">
        <f t="shared" si="611"/>
        <v>6.2556634304207117</v>
      </c>
      <c r="AE264" s="26">
        <f t="shared" si="611"/>
        <v>6.8553921568627452</v>
      </c>
      <c r="AF264" s="26">
        <f t="shared" si="611"/>
        <v>6.3313689936536717</v>
      </c>
      <c r="AG264" s="26">
        <f t="shared" si="611"/>
        <v>6.0822293284604845</v>
      </c>
      <c r="AH264" s="26">
        <f t="shared" si="611"/>
        <v>6.1633616619452312</v>
      </c>
      <c r="AI264" s="26">
        <f t="shared" si="611"/>
        <v>5.5498542274052483</v>
      </c>
      <c r="AJ264" s="26">
        <f t="shared" si="611"/>
        <v>5.5531118390266725</v>
      </c>
      <c r="AK264" s="26">
        <f t="shared" si="611"/>
        <v>5.9080739299610894</v>
      </c>
      <c r="AL264" s="26">
        <f t="shared" si="611"/>
        <v>5.8462301587301591</v>
      </c>
      <c r="AM264" s="26">
        <f t="shared" si="611"/>
        <v>5.8642363293526083</v>
      </c>
      <c r="AN264" s="26">
        <f t="shared" si="611"/>
        <v>5.4830464267083983</v>
      </c>
      <c r="AO264" s="26">
        <f t="shared" si="611"/>
        <v>5.7330316742081449</v>
      </c>
      <c r="AP264" s="26">
        <f t="shared" si="611"/>
        <v>5.5566790846194785</v>
      </c>
      <c r="AQ264" s="26">
        <f t="shared" si="611"/>
        <v>5.7697841726618702</v>
      </c>
      <c r="AR264" s="26">
        <f t="shared" si="611"/>
        <v>6.2597162245527453</v>
      </c>
      <c r="AS264" s="26">
        <f t="shared" si="611"/>
        <v>6.0508710801393732</v>
      </c>
      <c r="AT264" s="26">
        <f t="shared" si="611"/>
        <v>5.1665243381725023</v>
      </c>
      <c r="AU264" s="26">
        <f t="shared" si="611"/>
        <v>5.9913854989231874</v>
      </c>
      <c r="AV264" s="26">
        <f t="shared" si="611"/>
        <v>5.9111630625365281</v>
      </c>
      <c r="AW264" s="26">
        <f t="shared" si="611"/>
        <v>6.2302521008403362</v>
      </c>
      <c r="AX264" s="26">
        <f t="shared" si="611"/>
        <v>5.8070267435762979</v>
      </c>
      <c r="AY264" s="25">
        <f t="shared" si="611"/>
        <v>6.1990801576872538</v>
      </c>
      <c r="AZ264" s="26">
        <f t="shared" si="611"/>
        <v>5.7116402116402121</v>
      </c>
      <c r="BA264" s="26">
        <f t="shared" si="611"/>
        <v>5.463644524236984</v>
      </c>
      <c r="BB264" s="27">
        <f t="shared" si="611"/>
        <v>5.5993923611111107</v>
      </c>
      <c r="BC264" s="52">
        <f t="shared" si="611"/>
        <v>4.5126715945089755</v>
      </c>
      <c r="BD264" s="53">
        <f t="shared" si="611"/>
        <v>5.2491864249186424</v>
      </c>
      <c r="BE264" s="53">
        <f t="shared" si="611"/>
        <v>4.9576742197520307</v>
      </c>
      <c r="BF264" s="54">
        <f t="shared" si="611"/>
        <v>5.3068181818181817</v>
      </c>
      <c r="BG264" s="52">
        <f t="shared" si="611"/>
        <v>5.0587341772151895</v>
      </c>
      <c r="BH264" s="53">
        <f t="shared" si="611"/>
        <v>5.1339072214251553</v>
      </c>
      <c r="BI264" s="53">
        <f t="shared" ref="BI264:BR264" si="612">+BI268/BI260</f>
        <v>5.1544046466602129</v>
      </c>
      <c r="BJ264" s="53">
        <f t="shared" si="612"/>
        <v>5.483094262295082</v>
      </c>
      <c r="BK264" s="317">
        <f t="shared" si="612"/>
        <v>4.9222462203023758</v>
      </c>
      <c r="BL264" s="245">
        <f t="shared" si="612"/>
        <v>5.0843860535624055</v>
      </c>
      <c r="BM264" s="245">
        <f t="shared" si="612"/>
        <v>5.2461385151968107</v>
      </c>
      <c r="BN264" s="318">
        <f t="shared" si="612"/>
        <v>5.5141047783534827</v>
      </c>
      <c r="BO264" s="317">
        <f t="shared" si="612"/>
        <v>5.2472131147540981</v>
      </c>
      <c r="BP264" s="245">
        <f t="shared" si="612"/>
        <v>5.1902408894379244</v>
      </c>
      <c r="BQ264" s="245">
        <f t="shared" si="612"/>
        <v>5.0534550195567141</v>
      </c>
      <c r="BR264" s="245">
        <f t="shared" si="612"/>
        <v>5.3655536028119508</v>
      </c>
      <c r="BS264" s="317">
        <f t="shared" ref="BS264:BV266" si="613">+BS268/BS260</f>
        <v>5.2895377128953776</v>
      </c>
      <c r="BT264" s="245">
        <f t="shared" si="613"/>
        <v>4.6918465227817743</v>
      </c>
      <c r="BU264" s="245">
        <f t="shared" si="613"/>
        <v>4.654218533886584</v>
      </c>
      <c r="BV264" s="318">
        <f t="shared" si="613"/>
        <v>5.014360657832782</v>
      </c>
      <c r="BW264" s="245">
        <f t="shared" ref="BW264:BX264" si="614">+BW268/BW260</f>
        <v>4.507976490344249</v>
      </c>
      <c r="BX264" s="245">
        <f t="shared" si="614"/>
        <v>6.3058161350844282</v>
      </c>
      <c r="BY264" s="245">
        <f t="shared" ref="BY264:BZ264" si="615">+BY268/BY260</f>
        <v>5.4608408903544934</v>
      </c>
      <c r="BZ264" s="245">
        <f t="shared" si="615"/>
        <v>5.2166007905138336</v>
      </c>
      <c r="CA264" s="317">
        <f t="shared" ref="CA264:CB264" si="616">+CA268/CA260</f>
        <v>4.599502487562189</v>
      </c>
      <c r="CB264" s="245">
        <f t="shared" si="616"/>
        <v>4.6470154753131911</v>
      </c>
      <c r="CC264" s="245">
        <f t="shared" ref="CC264:CE264" si="617">+CC268/CC260</f>
        <v>4.7815468113975577</v>
      </c>
      <c r="CD264" s="318">
        <f t="shared" si="617"/>
        <v>5.1715555555555559</v>
      </c>
      <c r="CE264" s="317">
        <f t="shared" si="617"/>
        <v>4.9532520325203251</v>
      </c>
      <c r="CF264" s="245">
        <v>0</v>
      </c>
      <c r="CG264" s="245">
        <f t="shared" ref="CG264:CJ264" si="618">+CG268/CG260</f>
        <v>3.8968942987559299</v>
      </c>
      <c r="CH264" s="318">
        <f t="shared" si="618"/>
        <v>4.25</v>
      </c>
      <c r="CI264" s="317">
        <f t="shared" si="618"/>
        <v>4.1697936210131328</v>
      </c>
      <c r="CJ264" s="245">
        <f t="shared" si="618"/>
        <v>4.5044642857142856</v>
      </c>
      <c r="CK264" s="245">
        <f t="shared" ref="CK264" si="619">+CK268/CK260</f>
        <v>4.4171842650103521</v>
      </c>
      <c r="CL264" s="318">
        <f>+CL268/CL260+0.01</f>
        <v>4.7743805309734508</v>
      </c>
      <c r="CM264" s="317">
        <f t="shared" ref="CM264:CO264" si="620">+CM268/CM260</f>
        <v>3.8684807256235829</v>
      </c>
      <c r="CN264" s="245">
        <f t="shared" si="620"/>
        <v>4.398593200468933</v>
      </c>
      <c r="CO264" s="245">
        <f t="shared" si="620"/>
        <v>4.1280947255113025</v>
      </c>
      <c r="CP264" s="318">
        <f>+CP268/CP260</f>
        <v>4.3383458646616537</v>
      </c>
      <c r="CQ264" s="317">
        <f t="shared" ref="CQ264:CT264" si="621">+CQ268/CQ260</f>
        <v>4.0269905533063426</v>
      </c>
      <c r="CR264" s="245">
        <f t="shared" si="621"/>
        <v>4.4833254927910096</v>
      </c>
      <c r="CS264" s="245">
        <f t="shared" si="621"/>
        <v>4.6412037037037033</v>
      </c>
      <c r="CT264" s="318">
        <f t="shared" si="621"/>
        <v>4.137450196800291</v>
      </c>
      <c r="CU264" s="317">
        <f t="shared" ref="CU264:CX264" si="622">+CU268/CU260</f>
        <v>3.7838926174496645</v>
      </c>
      <c r="CV264" s="245">
        <f t="shared" si="622"/>
        <v>4.2524271844660193</v>
      </c>
      <c r="CW264" s="245" t="e">
        <f t="shared" si="622"/>
        <v>#DIV/0!</v>
      </c>
      <c r="CX264" s="318" t="e">
        <f t="shared" si="622"/>
        <v>#DIV/0!</v>
      </c>
    </row>
    <row r="265" spans="1:119" x14ac:dyDescent="0.25">
      <c r="A265" s="225"/>
      <c r="B265" s="227" t="s">
        <v>53</v>
      </c>
      <c r="C265" s="26">
        <f t="shared" si="611"/>
        <v>1.5476381104883907</v>
      </c>
      <c r="D265" s="26">
        <f t="shared" si="611"/>
        <v>1.4429090909090909</v>
      </c>
      <c r="E265" s="26">
        <f t="shared" si="611"/>
        <v>1.5014299332697807</v>
      </c>
      <c r="F265" s="26">
        <f t="shared" si="611"/>
        <v>1.997752808988764</v>
      </c>
      <c r="G265" s="26">
        <f t="shared" si="611"/>
        <v>1.775905644481887</v>
      </c>
      <c r="H265" s="26">
        <f t="shared" si="611"/>
        <v>1.4014209591474245</v>
      </c>
      <c r="I265" s="26">
        <f t="shared" si="611"/>
        <v>1.2516447368421053</v>
      </c>
      <c r="J265" s="26">
        <f t="shared" si="611"/>
        <v>1.4335047759000734</v>
      </c>
      <c r="K265" s="26">
        <f t="shared" si="611"/>
        <v>1.3891428571428572</v>
      </c>
      <c r="L265" s="26">
        <f t="shared" si="611"/>
        <v>1.1828908554572271</v>
      </c>
      <c r="M265" s="26">
        <f t="shared" si="611"/>
        <v>1.2684684684684684</v>
      </c>
      <c r="N265" s="26">
        <f t="shared" si="611"/>
        <v>1.4536541889483066</v>
      </c>
      <c r="O265" s="26">
        <f t="shared" si="611"/>
        <v>0.94353640416047546</v>
      </c>
      <c r="P265" s="26">
        <f t="shared" si="611"/>
        <v>1.5161676646706588</v>
      </c>
      <c r="Q265" s="26">
        <f t="shared" si="611"/>
        <v>1.514324693042292</v>
      </c>
      <c r="R265" s="26">
        <f t="shared" si="611"/>
        <v>1.4937931034482759</v>
      </c>
      <c r="S265" s="26">
        <f t="shared" si="611"/>
        <v>1.6213307240704502</v>
      </c>
      <c r="T265" s="26">
        <f t="shared" si="611"/>
        <v>0.99795918367346936</v>
      </c>
      <c r="U265" s="26">
        <f t="shared" si="611"/>
        <v>1.0318543799772468</v>
      </c>
      <c r="V265" s="26">
        <f t="shared" si="611"/>
        <v>1.0494571773220749</v>
      </c>
      <c r="W265" s="26">
        <f t="shared" si="611"/>
        <v>1.0090556274256144</v>
      </c>
      <c r="X265" s="26">
        <f t="shared" si="611"/>
        <v>0.93252361673414308</v>
      </c>
      <c r="Y265" s="26">
        <f t="shared" si="611"/>
        <v>0.78702397743300423</v>
      </c>
      <c r="Z265" s="26">
        <f t="shared" si="611"/>
        <v>0.76478679504814306</v>
      </c>
      <c r="AA265" s="26">
        <f t="shared" si="611"/>
        <v>1.0747126436781609</v>
      </c>
      <c r="AB265" s="26">
        <f t="shared" si="611"/>
        <v>0.79354838709677422</v>
      </c>
      <c r="AC265" s="26">
        <f t="shared" si="611"/>
        <v>0.67796610169491522</v>
      </c>
      <c r="AD265" s="26">
        <f t="shared" si="611"/>
        <v>0.56280909990108807</v>
      </c>
      <c r="AE265" s="26">
        <f t="shared" si="611"/>
        <v>0.73987730061349688</v>
      </c>
      <c r="AF265" s="26">
        <f t="shared" si="611"/>
        <v>0.87035175879396987</v>
      </c>
      <c r="AG265" s="26">
        <f t="shared" si="611"/>
        <v>0.87912087912087911</v>
      </c>
      <c r="AH265" s="26">
        <f t="shared" si="611"/>
        <v>0.73939393939393938</v>
      </c>
      <c r="AI265" s="26">
        <f t="shared" si="611"/>
        <v>0.67869535045107565</v>
      </c>
      <c r="AJ265" s="26">
        <f t="shared" si="611"/>
        <v>0.85725018782870022</v>
      </c>
      <c r="AK265" s="26">
        <f t="shared" si="611"/>
        <v>0.73806366047745353</v>
      </c>
      <c r="AL265" s="26">
        <f t="shared" si="611"/>
        <v>0.62134027325959662</v>
      </c>
      <c r="AM265" s="26">
        <f t="shared" si="611"/>
        <v>0.62290653700702325</v>
      </c>
      <c r="AN265" s="26">
        <f t="shared" si="611"/>
        <v>0.56191004997223759</v>
      </c>
      <c r="AO265" s="26">
        <f t="shared" si="611"/>
        <v>0.61157024793388426</v>
      </c>
      <c r="AP265" s="26">
        <f t="shared" si="611"/>
        <v>0.64986876640419944</v>
      </c>
      <c r="AQ265" s="26">
        <f t="shared" si="611"/>
        <v>0.71175278622087135</v>
      </c>
      <c r="AR265" s="26">
        <f t="shared" si="611"/>
        <v>0.61593768723786702</v>
      </c>
      <c r="AS265" s="26">
        <f t="shared" si="611"/>
        <v>0.71082089552238803</v>
      </c>
      <c r="AT265" s="26">
        <f t="shared" si="611"/>
        <v>0.66298811544991509</v>
      </c>
      <c r="AU265" s="26">
        <f t="shared" si="611"/>
        <v>0.59888406695598262</v>
      </c>
      <c r="AV265" s="26">
        <f t="shared" si="611"/>
        <v>0.57417102966841183</v>
      </c>
      <c r="AW265" s="26">
        <f t="shared" si="611"/>
        <v>0.51506849315068493</v>
      </c>
      <c r="AX265" s="26">
        <f t="shared" si="611"/>
        <v>0.55415918611609816</v>
      </c>
      <c r="AY265" s="25">
        <f t="shared" si="611"/>
        <v>0.47055758207399689</v>
      </c>
      <c r="AZ265" s="26">
        <f t="shared" si="611"/>
        <v>0.41190864600326266</v>
      </c>
      <c r="BA265" s="26">
        <f t="shared" si="611"/>
        <v>0.36733970952887002</v>
      </c>
      <c r="BB265" s="27">
        <f t="shared" si="611"/>
        <v>0.38036809815950923</v>
      </c>
      <c r="BC265" s="52">
        <f t="shared" si="611"/>
        <v>0.42443621676203297</v>
      </c>
      <c r="BD265" s="53">
        <f t="shared" si="611"/>
        <v>0.40684830633284241</v>
      </c>
      <c r="BE265" s="53">
        <f t="shared" si="611"/>
        <v>0.42531645569620252</v>
      </c>
      <c r="BF265" s="54">
        <f t="shared" si="611"/>
        <v>0.39787610619469027</v>
      </c>
      <c r="BG265" s="52">
        <f t="shared" si="611"/>
        <v>0.4095904095904096</v>
      </c>
      <c r="BH265" s="53">
        <f t="shared" si="611"/>
        <v>0.43328795098706602</v>
      </c>
      <c r="BI265" s="53">
        <f t="shared" ref="BI265:BR265" si="623">+BI269/BI261</f>
        <v>0.39344262295081966</v>
      </c>
      <c r="BJ265" s="53">
        <f t="shared" si="623"/>
        <v>0.40382037533512066</v>
      </c>
      <c r="BK265" s="317">
        <f t="shared" si="623"/>
        <v>0.38256819693945443</v>
      </c>
      <c r="BL265" s="245">
        <f t="shared" si="623"/>
        <v>0.35997357992073975</v>
      </c>
      <c r="BM265" s="245">
        <f t="shared" si="623"/>
        <v>0.35893040795337677</v>
      </c>
      <c r="BN265" s="318">
        <f t="shared" si="623"/>
        <v>0.42412140575079871</v>
      </c>
      <c r="BO265" s="317">
        <f t="shared" si="623"/>
        <v>0.38651196519216824</v>
      </c>
      <c r="BP265" s="245">
        <f t="shared" si="623"/>
        <v>0.36314620995876945</v>
      </c>
      <c r="BQ265" s="245">
        <f t="shared" si="623"/>
        <v>0.26600773528147831</v>
      </c>
      <c r="BR265" s="245">
        <f t="shared" si="623"/>
        <v>0.26989171374764598</v>
      </c>
      <c r="BS265" s="317">
        <f t="shared" si="613"/>
        <v>0.25588697017268447</v>
      </c>
      <c r="BT265" s="245">
        <f t="shared" si="613"/>
        <v>0.2430785123966942</v>
      </c>
      <c r="BU265" s="245">
        <f t="shared" si="613"/>
        <v>0.23327343832575836</v>
      </c>
      <c r="BV265" s="318">
        <f t="shared" si="613"/>
        <v>0.2528026447953754</v>
      </c>
      <c r="BW265" s="245">
        <f t="shared" ref="BW265:BX265" si="624">+BW269/BW261</f>
        <v>0.23394231874066415</v>
      </c>
      <c r="BX265" s="245">
        <f t="shared" si="624"/>
        <v>0.21725394896719319</v>
      </c>
      <c r="BY265" s="245">
        <f t="shared" ref="BY265:BZ265" si="625">+BY269/BY261</f>
        <v>0.23198507755743178</v>
      </c>
      <c r="BZ265" s="245">
        <f t="shared" si="625"/>
        <v>0.24442200908632003</v>
      </c>
      <c r="CA265" s="317">
        <f t="shared" ref="CA265:CB265" si="626">+CA269/CA261</f>
        <v>0.22224456958970235</v>
      </c>
      <c r="CB265" s="245">
        <f t="shared" si="626"/>
        <v>0.20636499254102436</v>
      </c>
      <c r="CC265" s="245">
        <f t="shared" ref="CC265:CF265" si="627">+CC269/CC261</f>
        <v>0.21480719794344472</v>
      </c>
      <c r="CD265" s="318">
        <f t="shared" si="627"/>
        <v>0.23949138293400588</v>
      </c>
      <c r="CE265" s="317">
        <f t="shared" si="627"/>
        <v>0.2212936046511628</v>
      </c>
      <c r="CF265" s="245">
        <f t="shared" si="627"/>
        <v>0.20300381632401823</v>
      </c>
      <c r="CG265" s="245">
        <f t="shared" ref="CG265:CJ265" si="628">+CG269/CG261</f>
        <v>0.22060435945791851</v>
      </c>
      <c r="CH265" s="318">
        <f t="shared" si="628"/>
        <v>0.26251263902932254</v>
      </c>
      <c r="CI265" s="317">
        <f t="shared" si="628"/>
        <v>0.254312188168211</v>
      </c>
      <c r="CJ265" s="245">
        <f t="shared" si="628"/>
        <v>0.25770992366412215</v>
      </c>
      <c r="CK265" s="245">
        <f t="shared" ref="CK265:CN265" si="629">+CK269/CK261</f>
        <v>0.25841461739249899</v>
      </c>
      <c r="CL265" s="318">
        <f t="shared" si="629"/>
        <v>0.25493537849737252</v>
      </c>
      <c r="CM265" s="317">
        <f t="shared" si="629"/>
        <v>0.2560444511187866</v>
      </c>
      <c r="CN265" s="245">
        <f t="shared" si="629"/>
        <v>0.24777087273709808</v>
      </c>
      <c r="CO265" s="245">
        <f t="shared" ref="CO265:CQ265" si="630">+CO269/CO261</f>
        <v>0.21658814778080834</v>
      </c>
      <c r="CP265" s="318">
        <f t="shared" si="630"/>
        <v>0.20396884135570179</v>
      </c>
      <c r="CQ265" s="317">
        <f t="shared" si="630"/>
        <v>0.19642108206346987</v>
      </c>
      <c r="CR265" s="245">
        <f t="shared" ref="CR265:CU265" si="631">+CR269/CR261</f>
        <v>0.18460503820725166</v>
      </c>
      <c r="CS265" s="245">
        <f t="shared" si="631"/>
        <v>0.19379639448568398</v>
      </c>
      <c r="CT265" s="318">
        <f t="shared" si="631"/>
        <v>0.20716149608582199</v>
      </c>
      <c r="CU265" s="317">
        <f t="shared" si="631"/>
        <v>0.20508314181424903</v>
      </c>
      <c r="CV265" s="245">
        <f t="shared" ref="CV265:CX265" si="632">+CV269/CV261</f>
        <v>0.22610966057441254</v>
      </c>
      <c r="CW265" s="245" t="e">
        <f t="shared" si="632"/>
        <v>#DIV/0!</v>
      </c>
      <c r="CX265" s="318" t="e">
        <f t="shared" si="632"/>
        <v>#DIV/0!</v>
      </c>
    </row>
    <row r="266" spans="1:119" s="1" customFormat="1" x14ac:dyDescent="0.25">
      <c r="A266" s="306"/>
      <c r="B266" s="290" t="s">
        <v>56</v>
      </c>
      <c r="C266" s="87">
        <f t="shared" si="611"/>
        <v>6.266062383364436</v>
      </c>
      <c r="D266" s="87">
        <f t="shared" si="611"/>
        <v>6.1290720631786773</v>
      </c>
      <c r="E266" s="87">
        <f t="shared" si="611"/>
        <v>6.1850807485260191</v>
      </c>
      <c r="F266" s="87">
        <f t="shared" si="611"/>
        <v>6.3652082787529469</v>
      </c>
      <c r="G266" s="87">
        <f t="shared" si="611"/>
        <v>5.7272727272727275</v>
      </c>
      <c r="H266" s="87">
        <f t="shared" si="611"/>
        <v>5.4841328413284129</v>
      </c>
      <c r="I266" s="87">
        <f t="shared" si="611"/>
        <v>5.2213560122844322</v>
      </c>
      <c r="J266" s="87">
        <f t="shared" si="611"/>
        <v>5.1309073724007561</v>
      </c>
      <c r="K266" s="87">
        <f t="shared" si="611"/>
        <v>4.9882352941176471</v>
      </c>
      <c r="L266" s="87">
        <f t="shared" si="611"/>
        <v>5.348734332759892</v>
      </c>
      <c r="M266" s="87">
        <f t="shared" si="611"/>
        <v>5.4734858004523748</v>
      </c>
      <c r="N266" s="87">
        <f t="shared" si="611"/>
        <v>5.6259656117617745</v>
      </c>
      <c r="O266" s="87">
        <f t="shared" si="611"/>
        <v>5.555109214160181</v>
      </c>
      <c r="P266" s="87">
        <f t="shared" si="611"/>
        <v>6.0073136427566807</v>
      </c>
      <c r="Q266" s="87">
        <f t="shared" si="611"/>
        <v>6.059939759036145</v>
      </c>
      <c r="R266" s="87">
        <f t="shared" si="611"/>
        <v>6.0861150070126229</v>
      </c>
      <c r="S266" s="87">
        <f t="shared" si="611"/>
        <v>5.6083682008368205</v>
      </c>
      <c r="T266" s="87">
        <f t="shared" si="611"/>
        <v>5.7562257885998891</v>
      </c>
      <c r="U266" s="87">
        <f t="shared" si="611"/>
        <v>5.4889915737972279</v>
      </c>
      <c r="V266" s="87">
        <f t="shared" si="611"/>
        <v>5.4296048970506403</v>
      </c>
      <c r="W266" s="87">
        <f t="shared" si="611"/>
        <v>5.4641475751264501</v>
      </c>
      <c r="X266" s="87">
        <f t="shared" si="611"/>
        <v>5.572592377073029</v>
      </c>
      <c r="Y266" s="87">
        <f t="shared" si="611"/>
        <v>5.5609188717650477</v>
      </c>
      <c r="Z266" s="87">
        <f t="shared" si="611"/>
        <v>5.4645199761478835</v>
      </c>
      <c r="AA266" s="87">
        <f t="shared" si="611"/>
        <v>5.0276816608996544</v>
      </c>
      <c r="AB266" s="87">
        <f t="shared" si="611"/>
        <v>4.6281015579919211</v>
      </c>
      <c r="AC266" s="87">
        <f t="shared" si="611"/>
        <v>4.3842887473460719</v>
      </c>
      <c r="AD266" s="87">
        <f t="shared" si="611"/>
        <v>4.4423440453686203</v>
      </c>
      <c r="AE266" s="87">
        <f t="shared" si="611"/>
        <v>5.1096322241681262</v>
      </c>
      <c r="AF266" s="87">
        <f t="shared" si="611"/>
        <v>4.6338644173695718</v>
      </c>
      <c r="AG266" s="87">
        <f t="shared" si="611"/>
        <v>4.2568208778173187</v>
      </c>
      <c r="AH266" s="87">
        <f t="shared" si="611"/>
        <v>4.0808609656777195</v>
      </c>
      <c r="AI266" s="87">
        <f t="shared" si="611"/>
        <v>3.3257287705956906</v>
      </c>
      <c r="AJ266" s="87">
        <f t="shared" si="611"/>
        <v>3.7508650519031144</v>
      </c>
      <c r="AK266" s="87">
        <f t="shared" si="611"/>
        <v>3.7205387205387206</v>
      </c>
      <c r="AL266" s="87">
        <f t="shared" si="611"/>
        <v>3.5859836757669576</v>
      </c>
      <c r="AM266" s="87">
        <f t="shared" si="611"/>
        <v>3.045613015688553</v>
      </c>
      <c r="AN266" s="87">
        <f t="shared" si="611"/>
        <v>3.0992469069392148</v>
      </c>
      <c r="AO266" s="87">
        <f t="shared" si="611"/>
        <v>3.0561555075593954</v>
      </c>
      <c r="AP266" s="87">
        <f t="shared" si="611"/>
        <v>3.0864164904862581</v>
      </c>
      <c r="AQ266" s="87">
        <f t="shared" si="611"/>
        <v>2.9194975735084214</v>
      </c>
      <c r="AR266" s="87">
        <f t="shared" si="611"/>
        <v>3.3966565349544071</v>
      </c>
      <c r="AS266" s="87">
        <f t="shared" si="611"/>
        <v>3.2290502793296088</v>
      </c>
      <c r="AT266" s="87">
        <f t="shared" si="611"/>
        <v>2.9080459770114944</v>
      </c>
      <c r="AU266" s="87">
        <f t="shared" si="611"/>
        <v>3.097804391217565</v>
      </c>
      <c r="AV266" s="87">
        <f t="shared" si="611"/>
        <v>3.2364431486880467</v>
      </c>
      <c r="AW266" s="87">
        <f t="shared" si="611"/>
        <v>3.3409972299168973</v>
      </c>
      <c r="AX266" s="87">
        <f t="shared" si="611"/>
        <v>3.3538289547233093</v>
      </c>
      <c r="AY266" s="86">
        <f t="shared" si="611"/>
        <v>3.004359197907585</v>
      </c>
      <c r="AZ266" s="87">
        <f t="shared" si="611"/>
        <v>2.7187931828650393</v>
      </c>
      <c r="BA266" s="87">
        <f t="shared" si="611"/>
        <v>2.6153236982775687</v>
      </c>
      <c r="BB266" s="88">
        <f t="shared" si="611"/>
        <v>2.6067394926865397</v>
      </c>
      <c r="BC266" s="89">
        <f t="shared" si="611"/>
        <v>2.0160328879753342</v>
      </c>
      <c r="BD266" s="90">
        <f t="shared" si="611"/>
        <v>2.5469488391206081</v>
      </c>
      <c r="BE266" s="90">
        <f t="shared" si="611"/>
        <v>2.5023510971786833</v>
      </c>
      <c r="BF266" s="91">
        <f t="shared" si="611"/>
        <v>2.5470646766169156</v>
      </c>
      <c r="BG266" s="89">
        <f t="shared" si="611"/>
        <v>2.2541181197267979</v>
      </c>
      <c r="BH266" s="90">
        <f t="shared" si="611"/>
        <v>2.3877510439451184</v>
      </c>
      <c r="BI266" s="90">
        <f t="shared" ref="BI266:BR266" si="633">+BI270/BI262</f>
        <v>2.2712867506681942</v>
      </c>
      <c r="BJ266" s="90">
        <f t="shared" si="633"/>
        <v>2.412479740680713</v>
      </c>
      <c r="BK266" s="128">
        <f t="shared" si="633"/>
        <v>2.1132153149444215</v>
      </c>
      <c r="BL266" s="129">
        <f t="shared" si="633"/>
        <v>2.2272818054723387</v>
      </c>
      <c r="BM266" s="129">
        <f t="shared" si="633"/>
        <v>2.3509341998375306</v>
      </c>
      <c r="BN266" s="130">
        <f t="shared" si="633"/>
        <v>2.5088422541853337</v>
      </c>
      <c r="BO266" s="128">
        <f t="shared" si="633"/>
        <v>2.1172075647910344</v>
      </c>
      <c r="BP266" s="129">
        <f t="shared" si="633"/>
        <v>2.0008382229673094</v>
      </c>
      <c r="BQ266" s="129">
        <f t="shared" si="633"/>
        <v>1.128479154433353</v>
      </c>
      <c r="BR266" s="129">
        <f t="shared" si="633"/>
        <v>0.87180817936474986</v>
      </c>
      <c r="BS266" s="128">
        <f t="shared" si="613"/>
        <v>0.47765033765676923</v>
      </c>
      <c r="BT266" s="129">
        <f t="shared" si="613"/>
        <v>0.595967281719612</v>
      </c>
      <c r="BU266" s="129">
        <f t="shared" si="613"/>
        <v>0.81938204822590999</v>
      </c>
      <c r="BV266" s="130">
        <f t="shared" si="613"/>
        <v>0.86984245261363435</v>
      </c>
      <c r="BW266" s="129">
        <f t="shared" ref="BW266:BX266" si="634">+BW270/BW262</f>
        <v>0.74843339397614717</v>
      </c>
      <c r="BX266" s="129">
        <f t="shared" si="634"/>
        <v>0.58758416067556773</v>
      </c>
      <c r="BY266" s="129">
        <f t="shared" ref="BY266:BZ266" si="635">+BY270/BY262</f>
        <v>0.78840249144661811</v>
      </c>
      <c r="BZ266" s="129">
        <f t="shared" si="635"/>
        <v>0.80752014324082366</v>
      </c>
      <c r="CA266" s="128">
        <f t="shared" ref="CA266:CB266" si="636">+CA270/CA262</f>
        <v>0.69569506726457397</v>
      </c>
      <c r="CB266" s="129">
        <f t="shared" si="636"/>
        <v>0.73440238345601117</v>
      </c>
      <c r="CC266" s="129">
        <f t="shared" ref="CC266:CF266" si="637">+CC270/CC262</f>
        <v>0.81587641753728013</v>
      </c>
      <c r="CD266" s="130">
        <f t="shared" si="637"/>
        <v>0.76092472511981957</v>
      </c>
      <c r="CE266" s="128">
        <f t="shared" si="637"/>
        <v>0.4874256973022405</v>
      </c>
      <c r="CF266" s="129">
        <f t="shared" si="637"/>
        <v>0.20903607041733349</v>
      </c>
      <c r="CG266" s="129">
        <f t="shared" ref="CG266:CJ266" si="638">+CG270/CG262</f>
        <v>0.62188009807848232</v>
      </c>
      <c r="CH266" s="130">
        <f t="shared" si="638"/>
        <v>0.7693071491615181</v>
      </c>
      <c r="CI266" s="128">
        <f t="shared" si="638"/>
        <v>0.77082044301447838</v>
      </c>
      <c r="CJ266" s="129">
        <f t="shared" si="638"/>
        <v>0.87783572359843542</v>
      </c>
      <c r="CK266" s="129">
        <f t="shared" ref="CK266:CN266" si="639">+CK270/CK262</f>
        <v>0.74566403881140086</v>
      </c>
      <c r="CL266" s="130">
        <f t="shared" si="639"/>
        <v>0.76803020767778474</v>
      </c>
      <c r="CM266" s="128">
        <f t="shared" si="639"/>
        <v>0.67855722052778145</v>
      </c>
      <c r="CN266" s="129">
        <f t="shared" si="639"/>
        <v>0.67668079951544513</v>
      </c>
      <c r="CO266" s="129">
        <f t="shared" ref="CO266:CQ266" si="640">+CO270/CO262</f>
        <v>0.62056698165647584</v>
      </c>
      <c r="CP266" s="130">
        <f t="shared" si="640"/>
        <v>0.64488704797627461</v>
      </c>
      <c r="CQ266" s="128">
        <f t="shared" si="640"/>
        <v>0.5559918925766405</v>
      </c>
      <c r="CR266" s="129">
        <f t="shared" ref="CR266:CU266" si="641">+CR270/CR262</f>
        <v>0.56313951417266694</v>
      </c>
      <c r="CS266" s="129">
        <f t="shared" si="641"/>
        <v>0.65080875356803047</v>
      </c>
      <c r="CT266" s="130">
        <f t="shared" si="641"/>
        <v>0.62883290088938637</v>
      </c>
      <c r="CU266" s="128">
        <f t="shared" si="641"/>
        <v>0.53254728567919429</v>
      </c>
      <c r="CV266" s="129">
        <f t="shared" ref="CV266:CX266" si="642">+CV270/CV262</f>
        <v>0.57248538360577494</v>
      </c>
      <c r="CW266" s="129" t="e">
        <f t="shared" si="642"/>
        <v>#DIV/0!</v>
      </c>
      <c r="CX266" s="130" t="e">
        <f t="shared" si="642"/>
        <v>#DIV/0!</v>
      </c>
      <c r="CY266" s="347"/>
      <c r="CZ266" s="347"/>
      <c r="DA266" s="347"/>
      <c r="DB266" s="347"/>
      <c r="DC266" s="347"/>
      <c r="DD266" s="347"/>
      <c r="DE266" s="347"/>
      <c r="DF266" s="347"/>
      <c r="DG266" s="347"/>
      <c r="DH266" s="347"/>
      <c r="DI266" s="347"/>
      <c r="DJ266" s="347"/>
      <c r="DK266" s="347"/>
      <c r="DL266" s="347"/>
      <c r="DM266" s="347"/>
      <c r="DN266" s="347"/>
      <c r="DO266" s="347"/>
    </row>
    <row r="267" spans="1:119" x14ac:dyDescent="0.25">
      <c r="A267" s="225"/>
      <c r="B267" s="292" t="s">
        <v>57</v>
      </c>
      <c r="AY267" s="22"/>
      <c r="BB267" s="23"/>
      <c r="BC267" s="49"/>
      <c r="BD267" s="50"/>
      <c r="BE267" s="50"/>
      <c r="BF267" s="51"/>
      <c r="BG267" s="49"/>
      <c r="BH267" s="50"/>
      <c r="BK267" s="225"/>
      <c r="BL267" s="208"/>
      <c r="BM267" s="208"/>
      <c r="BN267" s="227"/>
      <c r="BO267" s="225"/>
      <c r="BP267" s="208"/>
      <c r="BQ267" s="208"/>
      <c r="BR267" s="208"/>
      <c r="BS267" s="225"/>
      <c r="BT267" s="208"/>
      <c r="BU267" s="208"/>
      <c r="BV267" s="227"/>
      <c r="BW267" s="208"/>
      <c r="BX267" s="208"/>
      <c r="BY267" s="208"/>
      <c r="BZ267" s="208"/>
      <c r="CA267" s="225"/>
      <c r="CB267" s="208"/>
      <c r="CC267" s="208"/>
      <c r="CD267" s="227"/>
      <c r="CE267" s="225"/>
      <c r="CF267" s="208"/>
      <c r="CG267" s="208"/>
      <c r="CH267" s="227"/>
      <c r="CI267" s="225"/>
      <c r="CJ267" s="208"/>
      <c r="CK267" s="208"/>
      <c r="CL267" s="227"/>
      <c r="CM267" s="225"/>
      <c r="CN267" s="208"/>
      <c r="CO267" s="208"/>
      <c r="CP267" s="227"/>
      <c r="CQ267" s="225"/>
      <c r="CR267" s="208"/>
      <c r="CS267" s="208"/>
      <c r="CT267" s="227"/>
      <c r="CU267" s="225"/>
      <c r="CV267" s="208"/>
      <c r="CW267" s="208"/>
      <c r="CX267" s="227"/>
    </row>
    <row r="268" spans="1:119" x14ac:dyDescent="0.25">
      <c r="A268" s="225"/>
      <c r="B268" s="227" t="s">
        <v>52</v>
      </c>
      <c r="C268" s="8">
        <f t="shared" ref="C268:AH268" si="643">+C115+C64+C14</f>
        <v>21571</v>
      </c>
      <c r="D268" s="8">
        <f t="shared" si="643"/>
        <v>22851</v>
      </c>
      <c r="E268" s="8">
        <f t="shared" si="643"/>
        <v>22553</v>
      </c>
      <c r="F268" s="8">
        <f t="shared" si="643"/>
        <v>22518</v>
      </c>
      <c r="G268" s="8">
        <f t="shared" si="643"/>
        <v>21643</v>
      </c>
      <c r="H268" s="8">
        <f t="shared" si="643"/>
        <v>20715</v>
      </c>
      <c r="I268" s="8">
        <f t="shared" si="643"/>
        <v>20580</v>
      </c>
      <c r="J268" s="8">
        <f t="shared" si="643"/>
        <v>19763</v>
      </c>
      <c r="K268" s="8">
        <f t="shared" si="643"/>
        <v>19193</v>
      </c>
      <c r="L268" s="8">
        <f t="shared" si="643"/>
        <v>20160</v>
      </c>
      <c r="M268" s="8">
        <f t="shared" si="643"/>
        <v>20371</v>
      </c>
      <c r="N268" s="8">
        <f t="shared" si="643"/>
        <v>20946</v>
      </c>
      <c r="O268" s="8">
        <f t="shared" si="643"/>
        <v>20856</v>
      </c>
      <c r="P268" s="8">
        <f t="shared" si="643"/>
        <v>20090</v>
      </c>
      <c r="Q268" s="8">
        <f t="shared" si="643"/>
        <v>19009</v>
      </c>
      <c r="R268" s="8">
        <f t="shared" si="643"/>
        <v>20614</v>
      </c>
      <c r="S268" s="8">
        <f t="shared" si="643"/>
        <v>18449</v>
      </c>
      <c r="T268" s="8">
        <f t="shared" si="643"/>
        <v>19825</v>
      </c>
      <c r="U268" s="8">
        <f t="shared" si="643"/>
        <v>19287</v>
      </c>
      <c r="V268" s="8">
        <f t="shared" si="643"/>
        <v>18644</v>
      </c>
      <c r="W268" s="8">
        <f t="shared" si="643"/>
        <v>17585</v>
      </c>
      <c r="X268" s="8">
        <f t="shared" si="643"/>
        <v>18462</v>
      </c>
      <c r="Y268" s="8">
        <f t="shared" si="643"/>
        <v>18566</v>
      </c>
      <c r="Z268" s="8">
        <f t="shared" si="643"/>
        <v>17772</v>
      </c>
      <c r="AA268" s="8">
        <f t="shared" si="643"/>
        <v>13408</v>
      </c>
      <c r="AB268" s="8">
        <f t="shared" si="643"/>
        <v>15057</v>
      </c>
      <c r="AC268" s="8">
        <f t="shared" si="643"/>
        <v>13655</v>
      </c>
      <c r="AD268" s="8">
        <f t="shared" si="643"/>
        <v>13531</v>
      </c>
      <c r="AE268" s="8">
        <f t="shared" si="643"/>
        <v>13985</v>
      </c>
      <c r="AF268" s="8">
        <f t="shared" si="643"/>
        <v>13967</v>
      </c>
      <c r="AG268" s="8">
        <f t="shared" si="643"/>
        <v>13314</v>
      </c>
      <c r="AH268" s="8">
        <f t="shared" si="643"/>
        <v>13054</v>
      </c>
      <c r="AI268" s="8">
        <f t="shared" ref="AI268:AY268" si="644">+AI115+AI64+AI14</f>
        <v>9518</v>
      </c>
      <c r="AJ268" s="8">
        <f t="shared" si="644"/>
        <v>11867</v>
      </c>
      <c r="AK268" s="8">
        <f t="shared" si="644"/>
        <v>12147</v>
      </c>
      <c r="AL268" s="8">
        <f t="shared" si="644"/>
        <v>11786</v>
      </c>
      <c r="AM268" s="8">
        <f t="shared" si="644"/>
        <v>9330</v>
      </c>
      <c r="AN268" s="8">
        <f t="shared" si="644"/>
        <v>10511</v>
      </c>
      <c r="AO268" s="8">
        <f t="shared" si="644"/>
        <v>10136</v>
      </c>
      <c r="AP268" s="8">
        <f t="shared" si="644"/>
        <v>10441</v>
      </c>
      <c r="AQ268" s="8">
        <f t="shared" si="644"/>
        <v>8822</v>
      </c>
      <c r="AR268" s="8">
        <f t="shared" si="644"/>
        <v>10147</v>
      </c>
      <c r="AS268" s="8">
        <f t="shared" si="644"/>
        <v>8683</v>
      </c>
      <c r="AT268" s="8">
        <f t="shared" si="644"/>
        <v>6050</v>
      </c>
      <c r="AU268" s="8">
        <f t="shared" si="644"/>
        <v>8346</v>
      </c>
      <c r="AV268" s="8">
        <f t="shared" si="644"/>
        <v>10114</v>
      </c>
      <c r="AW268" s="8">
        <f t="shared" si="644"/>
        <v>11121</v>
      </c>
      <c r="AX268" s="8">
        <f t="shared" si="644"/>
        <v>11074</v>
      </c>
      <c r="AY268" s="10">
        <f t="shared" si="644"/>
        <v>9435</v>
      </c>
      <c r="AZ268" s="8">
        <f t="shared" ref="AZ268:BP268" si="645">+AZ115+AZ64+AZ14+AZ166</f>
        <v>10795</v>
      </c>
      <c r="BA268" s="8">
        <f t="shared" si="645"/>
        <v>12173</v>
      </c>
      <c r="BB268" s="9">
        <f t="shared" si="645"/>
        <v>12901</v>
      </c>
      <c r="BC268" s="34">
        <f t="shared" si="645"/>
        <v>8547</v>
      </c>
      <c r="BD268" s="32">
        <f t="shared" si="645"/>
        <v>11291</v>
      </c>
      <c r="BE268" s="32">
        <f t="shared" si="645"/>
        <v>11596</v>
      </c>
      <c r="BF268" s="33">
        <f t="shared" si="645"/>
        <v>11675</v>
      </c>
      <c r="BG268" s="34">
        <f t="shared" si="645"/>
        <v>9991</v>
      </c>
      <c r="BH268" s="32">
        <f t="shared" si="645"/>
        <v>10735</v>
      </c>
      <c r="BI268" s="32">
        <f t="shared" si="645"/>
        <v>10649</v>
      </c>
      <c r="BJ268" s="32">
        <f t="shared" si="645"/>
        <v>10703</v>
      </c>
      <c r="BK268" s="213">
        <f t="shared" si="645"/>
        <v>9116</v>
      </c>
      <c r="BL268" s="214">
        <f t="shared" si="645"/>
        <v>10062</v>
      </c>
      <c r="BM268" s="214">
        <f t="shared" si="645"/>
        <v>10529</v>
      </c>
      <c r="BN268" s="259">
        <f t="shared" si="645"/>
        <v>9578</v>
      </c>
      <c r="BO268" s="213">
        <f t="shared" si="645"/>
        <v>8002</v>
      </c>
      <c r="BP268" s="214">
        <f t="shared" si="645"/>
        <v>8403</v>
      </c>
      <c r="BQ268" s="214">
        <f t="shared" ref="BQ268:BR270" si="646">+BQ115+BQ64+BQ14+BQ166+BQ217</f>
        <v>7752</v>
      </c>
      <c r="BR268" s="214">
        <f t="shared" si="646"/>
        <v>6106</v>
      </c>
      <c r="BS268" s="213">
        <f>+BS115+BS64+BS14+BS166+BS217+1</f>
        <v>2174</v>
      </c>
      <c r="BT268" s="214">
        <f t="shared" ref="BT268:BV270" si="647">+BT115+BT64+BT14+BT166+BT217</f>
        <v>3913</v>
      </c>
      <c r="BU268" s="214">
        <f t="shared" si="647"/>
        <v>6730</v>
      </c>
      <c r="BV268" s="259">
        <f t="shared" si="647"/>
        <v>6984</v>
      </c>
      <c r="BW268" s="214">
        <f t="shared" ref="BW268:BX268" si="648">+BW115+BW64+BW14+BW166+BW217</f>
        <v>5369</v>
      </c>
      <c r="BX268" s="214">
        <f t="shared" si="648"/>
        <v>3361</v>
      </c>
      <c r="BY268" s="214">
        <f t="shared" ref="BY268:BZ268" si="649">+BY115+BY64+BY14+BY166+BY217</f>
        <v>6624</v>
      </c>
      <c r="BZ268" s="214">
        <f t="shared" si="649"/>
        <v>6599</v>
      </c>
      <c r="CA268" s="213">
        <f t="shared" ref="CA268:CB268" si="650">+CA115+CA64+CA14+CA166+CA217</f>
        <v>5547</v>
      </c>
      <c r="CB268" s="214">
        <f t="shared" si="650"/>
        <v>6306</v>
      </c>
      <c r="CC268" s="214">
        <f t="shared" ref="CC268:CF268" si="651">+CC115+CC64+CC14+CC166+CC217</f>
        <v>7048</v>
      </c>
      <c r="CD268" s="259">
        <f t="shared" si="651"/>
        <v>5818</v>
      </c>
      <c r="CE268" s="213">
        <f t="shared" si="651"/>
        <v>2437</v>
      </c>
      <c r="CF268" s="214">
        <f t="shared" si="651"/>
        <v>49</v>
      </c>
      <c r="CG268" s="214">
        <f t="shared" ref="CG268:CJ268" si="652">+CG115+CG64+CG14+CG166+CG217</f>
        <v>4354</v>
      </c>
      <c r="CH268" s="259">
        <f t="shared" si="652"/>
        <v>4896</v>
      </c>
      <c r="CI268" s="213">
        <f t="shared" si="652"/>
        <v>4445</v>
      </c>
      <c r="CJ268" s="214">
        <f t="shared" si="652"/>
        <v>5045</v>
      </c>
      <c r="CK268" s="214">
        <f t="shared" ref="CK268:CN268" si="653">+CK115+CK64+CK14+CK166+CK217</f>
        <v>4267</v>
      </c>
      <c r="CL268" s="259">
        <f t="shared" si="653"/>
        <v>4307</v>
      </c>
      <c r="CM268" s="213">
        <f t="shared" si="653"/>
        <v>3412</v>
      </c>
      <c r="CN268" s="214">
        <f t="shared" si="653"/>
        <v>3752</v>
      </c>
      <c r="CO268" s="214">
        <f t="shared" ref="CO268:CQ268" si="654">+CO115+CO64+CO14+CO166+CO217</f>
        <v>3835</v>
      </c>
      <c r="CP268" s="259">
        <f t="shared" si="654"/>
        <v>4039</v>
      </c>
      <c r="CQ268" s="213">
        <f t="shared" si="654"/>
        <v>2984</v>
      </c>
      <c r="CR268" s="214">
        <f t="shared" ref="CR268:CU268" si="655">+CR115+CR64+CR14+CR166+CR217</f>
        <v>3469</v>
      </c>
      <c r="CS268" s="214">
        <f t="shared" si="655"/>
        <v>4010</v>
      </c>
      <c r="CT268" s="259">
        <f t="shared" si="655"/>
        <v>3430</v>
      </c>
      <c r="CU268" s="213">
        <f t="shared" si="655"/>
        <v>2819</v>
      </c>
      <c r="CV268" s="214">
        <f t="shared" ref="CV268:CX268" si="656">+CV115+CV64+CV14+CV166+CV217</f>
        <v>3066</v>
      </c>
      <c r="CW268" s="214">
        <f t="shared" si="656"/>
        <v>0</v>
      </c>
      <c r="CX268" s="259">
        <f t="shared" si="656"/>
        <v>0</v>
      </c>
    </row>
    <row r="269" spans="1:119" x14ac:dyDescent="0.25">
      <c r="A269" s="225"/>
      <c r="B269" s="227" t="s">
        <v>53</v>
      </c>
      <c r="C269" s="8">
        <f t="shared" ref="C269:AH269" si="657">+C116+C65+C15</f>
        <v>1933</v>
      </c>
      <c r="D269" s="8">
        <f t="shared" si="657"/>
        <v>1984</v>
      </c>
      <c r="E269" s="8">
        <f t="shared" si="657"/>
        <v>1575</v>
      </c>
      <c r="F269" s="8">
        <f t="shared" si="657"/>
        <v>1778</v>
      </c>
      <c r="G269" s="8">
        <f t="shared" si="657"/>
        <v>2108</v>
      </c>
      <c r="H269" s="8">
        <f t="shared" si="657"/>
        <v>1578</v>
      </c>
      <c r="I269" s="8">
        <f t="shared" si="657"/>
        <v>1522</v>
      </c>
      <c r="J269" s="8">
        <f t="shared" si="657"/>
        <v>1951</v>
      </c>
      <c r="K269" s="8">
        <f t="shared" si="657"/>
        <v>2431</v>
      </c>
      <c r="L269" s="8">
        <f t="shared" si="657"/>
        <v>1604</v>
      </c>
      <c r="M269" s="8">
        <f t="shared" si="657"/>
        <v>1408</v>
      </c>
      <c r="N269" s="8">
        <f t="shared" si="657"/>
        <v>1631</v>
      </c>
      <c r="O269" s="8">
        <f t="shared" si="657"/>
        <v>1270</v>
      </c>
      <c r="P269" s="8">
        <f t="shared" si="657"/>
        <v>1266</v>
      </c>
      <c r="Q269" s="8">
        <f t="shared" si="657"/>
        <v>1110</v>
      </c>
      <c r="R269" s="8">
        <f t="shared" si="657"/>
        <v>1083</v>
      </c>
      <c r="S269" s="8">
        <f t="shared" si="657"/>
        <v>1657</v>
      </c>
      <c r="T269" s="8">
        <f t="shared" si="657"/>
        <v>978</v>
      </c>
      <c r="U269" s="8">
        <f t="shared" si="657"/>
        <v>907</v>
      </c>
      <c r="V269" s="8">
        <f t="shared" si="657"/>
        <v>870</v>
      </c>
      <c r="W269" s="8">
        <f t="shared" si="657"/>
        <v>780</v>
      </c>
      <c r="X269" s="8">
        <f t="shared" si="657"/>
        <v>691</v>
      </c>
      <c r="Y269" s="8">
        <f t="shared" si="657"/>
        <v>558</v>
      </c>
      <c r="Z269" s="8">
        <f t="shared" si="657"/>
        <v>556</v>
      </c>
      <c r="AA269" s="8">
        <f t="shared" si="657"/>
        <v>1122</v>
      </c>
      <c r="AB269" s="8">
        <f t="shared" si="657"/>
        <v>984</v>
      </c>
      <c r="AC269" s="8">
        <f t="shared" si="657"/>
        <v>800</v>
      </c>
      <c r="AD269" s="8">
        <f t="shared" si="657"/>
        <v>569</v>
      </c>
      <c r="AE269" s="8">
        <f t="shared" si="657"/>
        <v>603</v>
      </c>
      <c r="AF269" s="8">
        <f t="shared" si="657"/>
        <v>866</v>
      </c>
      <c r="AG269" s="8">
        <f t="shared" si="657"/>
        <v>1040</v>
      </c>
      <c r="AH269" s="8">
        <f t="shared" si="657"/>
        <v>976</v>
      </c>
      <c r="AI269" s="8">
        <f t="shared" ref="AI269:AY269" si="658">+AI116+AI65+AI15</f>
        <v>978</v>
      </c>
      <c r="AJ269" s="8">
        <f t="shared" si="658"/>
        <v>1141</v>
      </c>
      <c r="AK269" s="8">
        <f t="shared" si="658"/>
        <v>1113</v>
      </c>
      <c r="AL269" s="8">
        <f t="shared" si="658"/>
        <v>955</v>
      </c>
      <c r="AM269" s="8">
        <f t="shared" si="658"/>
        <v>1153</v>
      </c>
      <c r="AN269" s="8">
        <f t="shared" si="658"/>
        <v>1012</v>
      </c>
      <c r="AO269" s="8">
        <f t="shared" si="658"/>
        <v>1184</v>
      </c>
      <c r="AP269" s="8">
        <f t="shared" si="658"/>
        <v>1238</v>
      </c>
      <c r="AQ269" s="8">
        <f t="shared" si="658"/>
        <v>1405</v>
      </c>
      <c r="AR269" s="8">
        <f t="shared" si="658"/>
        <v>1028</v>
      </c>
      <c r="AS269" s="8">
        <f t="shared" si="658"/>
        <v>1143</v>
      </c>
      <c r="AT269" s="8">
        <f t="shared" si="658"/>
        <v>781</v>
      </c>
      <c r="AU269" s="8">
        <f t="shared" si="658"/>
        <v>966</v>
      </c>
      <c r="AV269" s="8">
        <f t="shared" si="658"/>
        <v>987</v>
      </c>
      <c r="AW269" s="8">
        <f t="shared" si="658"/>
        <v>940</v>
      </c>
      <c r="AX269" s="8">
        <f t="shared" si="658"/>
        <v>926</v>
      </c>
      <c r="AY269" s="10">
        <f t="shared" si="658"/>
        <v>903</v>
      </c>
      <c r="AZ269" s="8">
        <f t="shared" ref="AZ269:BP269" si="659">+AZ116+AZ65+AZ15+AZ167</f>
        <v>1010</v>
      </c>
      <c r="BA269" s="8">
        <f t="shared" si="659"/>
        <v>1037</v>
      </c>
      <c r="BB269" s="9">
        <f t="shared" si="659"/>
        <v>1178</v>
      </c>
      <c r="BC269" s="34">
        <f t="shared" si="659"/>
        <v>1261</v>
      </c>
      <c r="BD269" s="32">
        <f t="shared" si="659"/>
        <v>1105</v>
      </c>
      <c r="BE269" s="32">
        <f t="shared" si="659"/>
        <v>1176</v>
      </c>
      <c r="BF269" s="33">
        <f t="shared" si="659"/>
        <v>1124</v>
      </c>
      <c r="BG269" s="34">
        <f t="shared" si="659"/>
        <v>1230</v>
      </c>
      <c r="BH269" s="32">
        <f t="shared" si="659"/>
        <v>1273</v>
      </c>
      <c r="BI269" s="32">
        <f t="shared" si="659"/>
        <v>1248</v>
      </c>
      <c r="BJ269" s="32">
        <f t="shared" si="659"/>
        <v>1205</v>
      </c>
      <c r="BK269" s="213">
        <f t="shared" si="659"/>
        <v>1150</v>
      </c>
      <c r="BL269" s="214">
        <f t="shared" si="659"/>
        <v>1090</v>
      </c>
      <c r="BM269" s="214">
        <f t="shared" si="659"/>
        <v>1047</v>
      </c>
      <c r="BN269" s="259">
        <f t="shared" si="659"/>
        <v>1062</v>
      </c>
      <c r="BO269" s="213">
        <f t="shared" si="659"/>
        <v>1066</v>
      </c>
      <c r="BP269" s="214">
        <f t="shared" si="659"/>
        <v>1145</v>
      </c>
      <c r="BQ269" s="214">
        <f t="shared" si="646"/>
        <v>1857</v>
      </c>
      <c r="BR269" s="214">
        <f t="shared" si="646"/>
        <v>2293</v>
      </c>
      <c r="BS269" s="213">
        <f>+BS116+BS65+BS15+BS167+BS218-1</f>
        <v>2282</v>
      </c>
      <c r="BT269" s="214">
        <f t="shared" si="647"/>
        <v>2353</v>
      </c>
      <c r="BU269" s="214">
        <f t="shared" si="647"/>
        <v>2207</v>
      </c>
      <c r="BV269" s="259">
        <f t="shared" si="647"/>
        <v>2365</v>
      </c>
      <c r="BW269" s="214">
        <f t="shared" ref="BW269:BX269" si="660">+BW116+BW65+BW15+BW167+BW218</f>
        <v>2036</v>
      </c>
      <c r="BX269" s="214">
        <f t="shared" si="660"/>
        <v>1788</v>
      </c>
      <c r="BY269" s="214">
        <f t="shared" ref="BY269:BZ269" si="661">+BY116+BY65+BY15+BY167+BY218</f>
        <v>2363</v>
      </c>
      <c r="BZ269" s="214">
        <f t="shared" si="661"/>
        <v>2421</v>
      </c>
      <c r="CA269" s="213">
        <f t="shared" ref="CA269:CB269" si="662">+CA116+CA65+CA15+CA167+CA218</f>
        <v>2210</v>
      </c>
      <c r="CB269" s="214">
        <f t="shared" si="662"/>
        <v>2075</v>
      </c>
      <c r="CC269" s="214">
        <f t="shared" ref="CC269:CF269" si="663">+CC116+CC65+CC15+CC167+CC218</f>
        <v>2089</v>
      </c>
      <c r="CD269" s="259">
        <f t="shared" si="663"/>
        <v>2279</v>
      </c>
      <c r="CE269" s="213">
        <f t="shared" si="663"/>
        <v>1827</v>
      </c>
      <c r="CF269" s="214">
        <f t="shared" si="663"/>
        <v>1649</v>
      </c>
      <c r="CG269" s="214">
        <f t="shared" ref="CG269:CJ269" si="664">+CG116+CG65+CG15+CG167+CG218</f>
        <v>2012</v>
      </c>
      <c r="CH269" s="259">
        <f t="shared" si="664"/>
        <v>2077</v>
      </c>
      <c r="CI269" s="213">
        <f t="shared" si="664"/>
        <v>1784</v>
      </c>
      <c r="CJ269" s="214">
        <f t="shared" si="664"/>
        <v>1688</v>
      </c>
      <c r="CK269" s="214">
        <f t="shared" ref="CK269:CN269" si="665">+CK116+CK65+CK15+CK167+CK218</f>
        <v>1881</v>
      </c>
      <c r="CL269" s="259">
        <f t="shared" si="665"/>
        <v>1795</v>
      </c>
      <c r="CM269" s="213">
        <f t="shared" si="665"/>
        <v>1705</v>
      </c>
      <c r="CN269" s="214">
        <f t="shared" si="665"/>
        <v>1834</v>
      </c>
      <c r="CO269" s="214">
        <f t="shared" ref="CO269:CQ269" si="666">+CO116+CO65+CO15+CO167+CO218</f>
        <v>1747</v>
      </c>
      <c r="CP269" s="259">
        <f t="shared" si="666"/>
        <v>1591</v>
      </c>
      <c r="CQ269" s="213">
        <f t="shared" si="666"/>
        <v>1405</v>
      </c>
      <c r="CR269" s="214">
        <f t="shared" ref="CR269:CU269" si="667">+CR116+CR65+CR15+CR167+CR218</f>
        <v>1479</v>
      </c>
      <c r="CS269" s="214">
        <f t="shared" si="667"/>
        <v>1462</v>
      </c>
      <c r="CT269" s="259">
        <f t="shared" si="667"/>
        <v>1429</v>
      </c>
      <c r="CU269" s="213">
        <f t="shared" si="667"/>
        <v>1517</v>
      </c>
      <c r="CV269" s="214">
        <f t="shared" ref="CV269:CX269" si="668">+CV116+CV65+CV15+CV167+CV218</f>
        <v>1732</v>
      </c>
      <c r="CW269" s="214">
        <f t="shared" si="668"/>
        <v>0</v>
      </c>
      <c r="CX269" s="259">
        <f t="shared" si="668"/>
        <v>0</v>
      </c>
    </row>
    <row r="270" spans="1:119" s="1" customFormat="1" x14ac:dyDescent="0.25">
      <c r="A270" s="306"/>
      <c r="B270" s="290" t="s">
        <v>54</v>
      </c>
      <c r="C270" s="63">
        <f t="shared" ref="C270:AH270" si="669">+C117+C66+C16</f>
        <v>23504</v>
      </c>
      <c r="D270" s="63">
        <f t="shared" si="669"/>
        <v>24835</v>
      </c>
      <c r="E270" s="63">
        <f t="shared" si="669"/>
        <v>24128</v>
      </c>
      <c r="F270" s="63">
        <f t="shared" si="669"/>
        <v>24296</v>
      </c>
      <c r="G270" s="63">
        <f t="shared" si="669"/>
        <v>23751</v>
      </c>
      <c r="H270" s="63">
        <f t="shared" si="669"/>
        <v>22293</v>
      </c>
      <c r="I270" s="63">
        <f t="shared" si="669"/>
        <v>22102</v>
      </c>
      <c r="J270" s="63">
        <f t="shared" si="669"/>
        <v>21714</v>
      </c>
      <c r="K270" s="63">
        <f t="shared" si="669"/>
        <v>21624</v>
      </c>
      <c r="L270" s="63">
        <f t="shared" si="669"/>
        <v>21764</v>
      </c>
      <c r="M270" s="63">
        <f t="shared" si="669"/>
        <v>21779</v>
      </c>
      <c r="N270" s="63">
        <f t="shared" si="669"/>
        <v>22577</v>
      </c>
      <c r="O270" s="63">
        <f t="shared" si="669"/>
        <v>22126</v>
      </c>
      <c r="P270" s="63">
        <f t="shared" si="669"/>
        <v>21356</v>
      </c>
      <c r="Q270" s="63">
        <f t="shared" si="669"/>
        <v>20119</v>
      </c>
      <c r="R270" s="63">
        <f t="shared" si="669"/>
        <v>21697</v>
      </c>
      <c r="S270" s="63">
        <f t="shared" si="669"/>
        <v>20106</v>
      </c>
      <c r="T270" s="63">
        <f t="shared" si="669"/>
        <v>20803</v>
      </c>
      <c r="U270" s="63">
        <f t="shared" si="669"/>
        <v>20194</v>
      </c>
      <c r="V270" s="63">
        <f t="shared" si="669"/>
        <v>19514</v>
      </c>
      <c r="W270" s="63">
        <f t="shared" si="669"/>
        <v>18365</v>
      </c>
      <c r="X270" s="63">
        <f t="shared" si="669"/>
        <v>19153</v>
      </c>
      <c r="Y270" s="63">
        <f t="shared" si="669"/>
        <v>19124</v>
      </c>
      <c r="Z270" s="63">
        <f t="shared" si="669"/>
        <v>18328</v>
      </c>
      <c r="AA270" s="63">
        <f t="shared" si="669"/>
        <v>14530</v>
      </c>
      <c r="AB270" s="63">
        <f t="shared" si="669"/>
        <v>16041</v>
      </c>
      <c r="AC270" s="63">
        <f t="shared" si="669"/>
        <v>14455</v>
      </c>
      <c r="AD270" s="63">
        <f t="shared" si="669"/>
        <v>14100</v>
      </c>
      <c r="AE270" s="63">
        <f t="shared" si="669"/>
        <v>14588</v>
      </c>
      <c r="AF270" s="63">
        <f t="shared" si="669"/>
        <v>14833</v>
      </c>
      <c r="AG270" s="63">
        <f t="shared" si="669"/>
        <v>14354</v>
      </c>
      <c r="AH270" s="63">
        <f t="shared" si="669"/>
        <v>14030</v>
      </c>
      <c r="AI270" s="63">
        <f t="shared" ref="AI270:AY270" si="670">+AI117+AI66+AI16</f>
        <v>10496</v>
      </c>
      <c r="AJ270" s="63">
        <f t="shared" si="670"/>
        <v>13008</v>
      </c>
      <c r="AK270" s="63">
        <f t="shared" si="670"/>
        <v>13260</v>
      </c>
      <c r="AL270" s="63">
        <f t="shared" si="670"/>
        <v>12741</v>
      </c>
      <c r="AM270" s="63">
        <f t="shared" si="670"/>
        <v>10483</v>
      </c>
      <c r="AN270" s="63">
        <f t="shared" si="670"/>
        <v>11523</v>
      </c>
      <c r="AO270" s="63">
        <f t="shared" si="670"/>
        <v>11320</v>
      </c>
      <c r="AP270" s="63">
        <f t="shared" si="670"/>
        <v>11679</v>
      </c>
      <c r="AQ270" s="63">
        <f t="shared" si="670"/>
        <v>10227</v>
      </c>
      <c r="AR270" s="63">
        <f t="shared" si="670"/>
        <v>11175</v>
      </c>
      <c r="AS270" s="63">
        <f t="shared" si="670"/>
        <v>9826</v>
      </c>
      <c r="AT270" s="63">
        <f t="shared" si="670"/>
        <v>6831</v>
      </c>
      <c r="AU270" s="63">
        <f t="shared" si="670"/>
        <v>9312</v>
      </c>
      <c r="AV270" s="63">
        <f t="shared" si="670"/>
        <v>11101</v>
      </c>
      <c r="AW270" s="63">
        <f t="shared" si="670"/>
        <v>12061</v>
      </c>
      <c r="AX270" s="63">
        <f t="shared" si="670"/>
        <v>12000</v>
      </c>
      <c r="AY270" s="62">
        <f t="shared" si="670"/>
        <v>10338</v>
      </c>
      <c r="AZ270" s="63">
        <f t="shared" ref="AZ270:BP270" si="671">+AZ117+AZ66+AZ16+AZ168</f>
        <v>11805</v>
      </c>
      <c r="BA270" s="63">
        <f t="shared" si="671"/>
        <v>13210</v>
      </c>
      <c r="BB270" s="64">
        <f t="shared" si="671"/>
        <v>14079</v>
      </c>
      <c r="BC270" s="65">
        <f t="shared" si="671"/>
        <v>9808</v>
      </c>
      <c r="BD270" s="66">
        <f t="shared" si="671"/>
        <v>12396</v>
      </c>
      <c r="BE270" s="66">
        <f t="shared" si="671"/>
        <v>12772</v>
      </c>
      <c r="BF270" s="67">
        <f t="shared" si="671"/>
        <v>12799</v>
      </c>
      <c r="BG270" s="65">
        <f t="shared" si="671"/>
        <v>11221</v>
      </c>
      <c r="BH270" s="66">
        <f t="shared" si="671"/>
        <v>12008</v>
      </c>
      <c r="BI270" s="66">
        <f t="shared" si="671"/>
        <v>11897</v>
      </c>
      <c r="BJ270" s="66">
        <f t="shared" si="671"/>
        <v>11908</v>
      </c>
      <c r="BK270" s="109">
        <f t="shared" si="671"/>
        <v>10266</v>
      </c>
      <c r="BL270" s="110">
        <f t="shared" si="671"/>
        <v>11152</v>
      </c>
      <c r="BM270" s="110">
        <f t="shared" si="671"/>
        <v>11576</v>
      </c>
      <c r="BN270" s="111">
        <f t="shared" si="671"/>
        <v>10640</v>
      </c>
      <c r="BO270" s="109">
        <f t="shared" si="671"/>
        <v>9068</v>
      </c>
      <c r="BP270" s="110">
        <f t="shared" si="671"/>
        <v>9548</v>
      </c>
      <c r="BQ270" s="110">
        <f t="shared" si="646"/>
        <v>9609</v>
      </c>
      <c r="BR270" s="110">
        <f t="shared" si="646"/>
        <v>8399</v>
      </c>
      <c r="BS270" s="109">
        <f>+BS117+BS66+BS16+BS168+BS219</f>
        <v>4456</v>
      </c>
      <c r="BT270" s="110">
        <f t="shared" si="647"/>
        <v>6266</v>
      </c>
      <c r="BU270" s="110">
        <f t="shared" si="647"/>
        <v>8937</v>
      </c>
      <c r="BV270" s="111">
        <f t="shared" si="647"/>
        <v>9349</v>
      </c>
      <c r="BW270" s="110">
        <f t="shared" ref="BW270:BX270" si="672">+BW117+BW66+BW16+BW168+BW219</f>
        <v>7405</v>
      </c>
      <c r="BX270" s="110">
        <f t="shared" si="672"/>
        <v>5149</v>
      </c>
      <c r="BY270" s="110">
        <f t="shared" ref="BY270:BZ270" si="673">+BY117+BY66+BY16+BY168+BY219</f>
        <v>8987</v>
      </c>
      <c r="BZ270" s="110">
        <f t="shared" si="673"/>
        <v>9020</v>
      </c>
      <c r="CA270" s="109">
        <f t="shared" ref="CA270:CB270" si="674">+CA117+CA66+CA16+CA168+CA219</f>
        <v>7757</v>
      </c>
      <c r="CB270" s="110">
        <f t="shared" si="674"/>
        <v>8381</v>
      </c>
      <c r="CC270" s="110">
        <f t="shared" ref="CC270:CF270" si="675">+CC117+CC66+CC16+CC168+CC219</f>
        <v>9137</v>
      </c>
      <c r="CD270" s="111">
        <f t="shared" si="675"/>
        <v>8097</v>
      </c>
      <c r="CE270" s="109">
        <f t="shared" si="675"/>
        <v>4264</v>
      </c>
      <c r="CF270" s="110">
        <f t="shared" si="675"/>
        <v>1698</v>
      </c>
      <c r="CG270" s="110">
        <f t="shared" ref="CG270:CJ270" si="676">+CG117+CG66+CG16+CG168+CG219</f>
        <v>6366</v>
      </c>
      <c r="CH270" s="111">
        <f t="shared" si="676"/>
        <v>6973</v>
      </c>
      <c r="CI270" s="109">
        <f t="shared" si="676"/>
        <v>6229</v>
      </c>
      <c r="CJ270" s="110">
        <f t="shared" si="676"/>
        <v>6733</v>
      </c>
      <c r="CK270" s="110">
        <f t="shared" ref="CK270:CN270" si="677">+CK117+CK66+CK16+CK168+CK219</f>
        <v>6148</v>
      </c>
      <c r="CL270" s="111">
        <f t="shared" si="677"/>
        <v>6102</v>
      </c>
      <c r="CM270" s="109">
        <f t="shared" si="677"/>
        <v>5117</v>
      </c>
      <c r="CN270" s="110">
        <f t="shared" si="677"/>
        <v>5586</v>
      </c>
      <c r="CO270" s="110">
        <f t="shared" ref="CO270:CQ270" si="678">+CO117+CO66+CO16+CO168+CO219</f>
        <v>5582</v>
      </c>
      <c r="CP270" s="111">
        <f t="shared" si="678"/>
        <v>5630</v>
      </c>
      <c r="CQ270" s="109">
        <f t="shared" si="678"/>
        <v>4389</v>
      </c>
      <c r="CR270" s="110">
        <f t="shared" ref="CR270:CU270" si="679">+CR117+CR66+CR16+CR168+CR219</f>
        <v>4948</v>
      </c>
      <c r="CS270" s="110">
        <f t="shared" si="679"/>
        <v>5472</v>
      </c>
      <c r="CT270" s="111">
        <f t="shared" si="679"/>
        <v>4859</v>
      </c>
      <c r="CU270" s="109">
        <f t="shared" si="679"/>
        <v>4336</v>
      </c>
      <c r="CV270" s="110">
        <f t="shared" ref="CV270:CX270" si="680">+CV117+CV66+CV16+CV168+CV219</f>
        <v>4798</v>
      </c>
      <c r="CW270" s="110">
        <f t="shared" si="680"/>
        <v>0</v>
      </c>
      <c r="CX270" s="111">
        <f t="shared" si="680"/>
        <v>0</v>
      </c>
      <c r="CY270" s="347"/>
      <c r="CZ270" s="347"/>
      <c r="DA270" s="347"/>
      <c r="DB270" s="347"/>
      <c r="DC270" s="347"/>
      <c r="DD270" s="347"/>
      <c r="DE270" s="347"/>
      <c r="DF270" s="347"/>
      <c r="DG270" s="347"/>
      <c r="DH270" s="347"/>
      <c r="DI270" s="347"/>
      <c r="DJ270" s="347"/>
      <c r="DK270" s="347"/>
      <c r="DL270" s="347"/>
      <c r="DM270" s="347"/>
      <c r="DN270" s="347"/>
      <c r="DO270" s="347"/>
    </row>
    <row r="271" spans="1:119" x14ac:dyDescent="0.25">
      <c r="A271" s="225"/>
      <c r="B271" s="292" t="s">
        <v>124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10"/>
      <c r="AZ271" s="8"/>
      <c r="BA271" s="8"/>
      <c r="BB271" s="9"/>
      <c r="BC271" s="43"/>
      <c r="BD271" s="32"/>
      <c r="BE271" s="32"/>
      <c r="BF271" s="33"/>
      <c r="BG271" s="43"/>
      <c r="BH271" s="44"/>
      <c r="BI271" s="8"/>
      <c r="BJ271" s="8"/>
      <c r="BK271" s="262"/>
      <c r="BL271" s="249"/>
      <c r="BM271" s="249"/>
      <c r="BN271" s="291"/>
      <c r="BO271" s="262"/>
      <c r="BP271" s="249"/>
      <c r="BQ271" s="249"/>
      <c r="BR271" s="249"/>
      <c r="BS271" s="262"/>
      <c r="BT271" s="249"/>
      <c r="BU271" s="249"/>
      <c r="BV271" s="291"/>
      <c r="BW271" s="249"/>
      <c r="BX271" s="249"/>
      <c r="BY271" s="249"/>
      <c r="BZ271" s="249"/>
      <c r="CA271" s="262"/>
      <c r="CB271" s="249"/>
      <c r="CC271" s="249"/>
      <c r="CD271" s="291"/>
      <c r="CE271" s="262"/>
      <c r="CF271" s="249"/>
      <c r="CG271" s="249"/>
      <c r="CH271" s="291"/>
      <c r="CI271" s="262"/>
      <c r="CJ271" s="249"/>
      <c r="CK271" s="249"/>
      <c r="CL271" s="291"/>
      <c r="CM271" s="262"/>
      <c r="CN271" s="249"/>
      <c r="CO271" s="249"/>
      <c r="CP271" s="291"/>
      <c r="CQ271" s="262"/>
      <c r="CR271" s="249"/>
      <c r="CS271" s="249"/>
      <c r="CT271" s="291"/>
      <c r="CU271" s="262"/>
      <c r="CV271" s="249"/>
      <c r="CW271" s="249"/>
      <c r="CX271" s="291"/>
    </row>
    <row r="272" spans="1:119" x14ac:dyDescent="0.25">
      <c r="A272" s="225"/>
      <c r="B272" s="227" t="s">
        <v>52</v>
      </c>
      <c r="C272" s="8">
        <f t="shared" ref="C272:AH272" si="681">+((C119*C107)+(C68*C56)+(C18*C6))/(C260)</f>
        <v>534.64708233413273</v>
      </c>
      <c r="D272" s="8">
        <f t="shared" si="681"/>
        <v>512.13149047441163</v>
      </c>
      <c r="E272" s="8">
        <f t="shared" si="681"/>
        <v>512.22159887798034</v>
      </c>
      <c r="F272" s="8">
        <f t="shared" si="681"/>
        <v>508.37717799795013</v>
      </c>
      <c r="G272" s="8">
        <f t="shared" si="681"/>
        <v>500.49966216216217</v>
      </c>
      <c r="H272" s="8">
        <f t="shared" si="681"/>
        <v>513.43858455256895</v>
      </c>
      <c r="I272" s="8">
        <f t="shared" si="681"/>
        <v>537.30692741133578</v>
      </c>
      <c r="J272" s="8">
        <f t="shared" si="681"/>
        <v>564.65865552072444</v>
      </c>
      <c r="K272" s="8">
        <f t="shared" si="681"/>
        <v>597.46769825918761</v>
      </c>
      <c r="L272" s="8">
        <f t="shared" si="681"/>
        <v>577.33321046811648</v>
      </c>
      <c r="M272" s="8">
        <f t="shared" si="681"/>
        <v>557.27117462530498</v>
      </c>
      <c r="N272" s="8">
        <f t="shared" si="681"/>
        <v>556.68004150812862</v>
      </c>
      <c r="O272" s="8">
        <f t="shared" si="681"/>
        <v>598.16040955631399</v>
      </c>
      <c r="P272" s="8">
        <f t="shared" si="681"/>
        <v>590.76323529411764</v>
      </c>
      <c r="Q272" s="8">
        <f t="shared" si="681"/>
        <v>627.04831851565518</v>
      </c>
      <c r="R272" s="8">
        <f t="shared" si="681"/>
        <v>595.85457746478869</v>
      </c>
      <c r="S272" s="8">
        <f t="shared" si="681"/>
        <v>639.36831837690204</v>
      </c>
      <c r="T272" s="8">
        <f t="shared" si="681"/>
        <v>654.61199696279425</v>
      </c>
      <c r="U272" s="8">
        <f t="shared" si="681"/>
        <v>567.16999999999996</v>
      </c>
      <c r="V272" s="8">
        <f t="shared" si="681"/>
        <v>588.09801084990954</v>
      </c>
      <c r="W272" s="8">
        <f t="shared" si="681"/>
        <v>640.30718701700152</v>
      </c>
      <c r="X272" s="8">
        <f t="shared" si="681"/>
        <v>620.74258160237389</v>
      </c>
      <c r="Y272" s="8">
        <f t="shared" si="681"/>
        <v>640.37765567765564</v>
      </c>
      <c r="Z272" s="8">
        <f t="shared" si="681"/>
        <v>684.13551579748764</v>
      </c>
      <c r="AA272" s="8">
        <f t="shared" si="681"/>
        <v>929.74106175514623</v>
      </c>
      <c r="AB272" s="8">
        <f t="shared" si="681"/>
        <v>812.27223719676545</v>
      </c>
      <c r="AC272" s="8">
        <f t="shared" si="681"/>
        <v>974.37931034482756</v>
      </c>
      <c r="AD272" s="8">
        <f t="shared" si="681"/>
        <v>957.75913083680075</v>
      </c>
      <c r="AE272" s="8">
        <f t="shared" si="681"/>
        <v>1011.003431372549</v>
      </c>
      <c r="AF272" s="8">
        <f t="shared" si="681"/>
        <v>961.1414324569356</v>
      </c>
      <c r="AG272" s="8">
        <f t="shared" si="681"/>
        <v>1054.8899040657834</v>
      </c>
      <c r="AH272" s="8">
        <f t="shared" si="681"/>
        <v>1081.8356940509916</v>
      </c>
      <c r="AI272" s="8">
        <f t="shared" ref="AI272:AY272" si="682">+((AI119*AI107)+(AI68*AI56)+(AI18*AI6))/(AI260)</f>
        <v>1291.2559766763848</v>
      </c>
      <c r="AJ272" s="8">
        <f t="shared" si="682"/>
        <v>1098.592887225082</v>
      </c>
      <c r="AK272" s="8">
        <f t="shared" si="682"/>
        <v>1185.5651750972763</v>
      </c>
      <c r="AL272" s="8">
        <f t="shared" si="682"/>
        <v>1164.2931547619048</v>
      </c>
      <c r="AM272" s="8">
        <f t="shared" si="682"/>
        <v>1327.6153362664991</v>
      </c>
      <c r="AN272" s="8">
        <f t="shared" si="682"/>
        <v>1233.2895148669797</v>
      </c>
      <c r="AO272" s="8">
        <f t="shared" si="682"/>
        <v>1364.6668552036199</v>
      </c>
      <c r="AP272" s="8">
        <f t="shared" si="682"/>
        <v>1211.2442788717403</v>
      </c>
      <c r="AQ272" s="8">
        <f t="shared" si="682"/>
        <v>1559.0843688685416</v>
      </c>
      <c r="AR272" s="8">
        <f t="shared" si="682"/>
        <v>1558.3769278223319</v>
      </c>
      <c r="AS272" s="8">
        <f t="shared" si="682"/>
        <v>1877.4919860627178</v>
      </c>
      <c r="AT272" s="8">
        <f t="shared" si="682"/>
        <v>2045.3304867634502</v>
      </c>
      <c r="AU272" s="8">
        <f t="shared" si="682"/>
        <v>1910.3697056712133</v>
      </c>
      <c r="AV272" s="8">
        <f t="shared" si="682"/>
        <v>1620.4792518994741</v>
      </c>
      <c r="AW272" s="8">
        <f t="shared" si="682"/>
        <v>1611.4985994397759</v>
      </c>
      <c r="AX272" s="8">
        <f t="shared" si="682"/>
        <v>1459.8757210277925</v>
      </c>
      <c r="AY272" s="10">
        <f t="shared" si="682"/>
        <v>1768.5978975032851</v>
      </c>
      <c r="AZ272" s="8">
        <f>+((AZ119*AZ107)+(AZ68*AZ56)+(AZ18*AZ6)+(AZ158*AZ170))/(AZ260)</f>
        <v>1631.1375661375662</v>
      </c>
      <c r="BA272" s="8">
        <f>+((BA119*BA107)+(BA68*BA56)+(BA18*BA6)+(BA158*BA170))/(BA260)+2</f>
        <v>1652.3801615798923</v>
      </c>
      <c r="BB272" s="9">
        <f>+((BB119*BB107)+(BB68*BB56)+(BB18*BB6)+(BB158*BB170))/(BB260)</f>
        <v>1554.2200520833333</v>
      </c>
      <c r="BC272" s="34">
        <f>+((BC119*BC107)+(BC68*BC56)+(BC18*BC6)+(BC158*BC170))/(BC260)+1</f>
        <v>1798.441393875396</v>
      </c>
      <c r="BD272" s="32">
        <f t="shared" ref="BD272:BN272" si="683">+((BD119*BD107)+(BD68*BD56)+(BD18*BD6)+(BD158*BD170))/(BD260)</f>
        <v>1746.1910739191073</v>
      </c>
      <c r="BE272" s="32">
        <f t="shared" si="683"/>
        <v>1728.610517315092</v>
      </c>
      <c r="BF272" s="33">
        <f t="shared" si="683"/>
        <v>1698.5718181818181</v>
      </c>
      <c r="BG272" s="34">
        <f t="shared" si="683"/>
        <v>1932.3448101265824</v>
      </c>
      <c r="BH272" s="32">
        <f t="shared" si="683"/>
        <v>1940.338593974175</v>
      </c>
      <c r="BI272" s="32">
        <f t="shared" si="683"/>
        <v>1996.2734753146176</v>
      </c>
      <c r="BJ272" s="32">
        <f t="shared" si="683"/>
        <v>1893.1434426229507</v>
      </c>
      <c r="BK272" s="213">
        <f t="shared" si="683"/>
        <v>2112.8493520518359</v>
      </c>
      <c r="BL272" s="214">
        <f t="shared" si="683"/>
        <v>2052.357251136938</v>
      </c>
      <c r="BM272" s="214">
        <f t="shared" si="683"/>
        <v>2134.4045839561536</v>
      </c>
      <c r="BN272" s="259">
        <f t="shared" si="683"/>
        <v>2151.7069660333909</v>
      </c>
      <c r="BO272" s="213">
        <f>+((BO119*BO107)+(BO68*BO56)+(BO18*BO6)+(BO158*BO170))/(BO260)+3</f>
        <v>2314.3206557377048</v>
      </c>
      <c r="BP272" s="214">
        <f>+((BP119*BP107)+(BP68*BP56)+(BP18*BP6)+(BP158*BP170))/(BP260)</f>
        <v>2345.1927115503399</v>
      </c>
      <c r="BQ272" s="214">
        <f t="shared" ref="BQ272:BV273" si="684">+((BQ119*BQ107)+(BQ68*BQ56)+(BQ18*BQ6)+(BQ158*BQ170)+(BQ209*BQ221))/(BQ260)</f>
        <v>2515.3096479791393</v>
      </c>
      <c r="BR272" s="214">
        <f t="shared" si="684"/>
        <v>3001.4973637961334</v>
      </c>
      <c r="BS272" s="213">
        <f t="shared" si="684"/>
        <v>6883.4476885644772</v>
      </c>
      <c r="BT272" s="214">
        <f t="shared" si="684"/>
        <v>4187.9928057553952</v>
      </c>
      <c r="BU272" s="214">
        <f t="shared" si="684"/>
        <v>2685.8250345781466</v>
      </c>
      <c r="BV272" s="259">
        <f t="shared" si="684"/>
        <v>2629.7552617378856</v>
      </c>
      <c r="BW272" s="214">
        <v>3031</v>
      </c>
      <c r="BX272" s="214">
        <v>5973</v>
      </c>
      <c r="BY272" s="214">
        <v>3383</v>
      </c>
      <c r="BZ272" s="214">
        <v>2970</v>
      </c>
      <c r="CA272" s="213">
        <v>3220</v>
      </c>
      <c r="CB272" s="214">
        <v>3236</v>
      </c>
      <c r="CC272" s="214">
        <v>3157</v>
      </c>
      <c r="CD272" s="259">
        <v>3695</v>
      </c>
      <c r="CE272" s="213">
        <v>6486</v>
      </c>
      <c r="CF272" s="214">
        <v>0</v>
      </c>
      <c r="CG272" s="214">
        <v>4573</v>
      </c>
      <c r="CH272" s="259">
        <v>3838</v>
      </c>
      <c r="CI272" s="213">
        <v>3923</v>
      </c>
      <c r="CJ272" s="214">
        <v>4081</v>
      </c>
      <c r="CK272" s="214">
        <v>4953</v>
      </c>
      <c r="CL272" s="259">
        <v>4832</v>
      </c>
      <c r="CM272" s="213">
        <v>4569</v>
      </c>
      <c r="CN272" s="214">
        <v>4914</v>
      </c>
      <c r="CO272" s="214">
        <v>4794</v>
      </c>
      <c r="CP272" s="259">
        <v>4300</v>
      </c>
      <c r="CQ272" s="213">
        <v>5514</v>
      </c>
      <c r="CR272" s="214">
        <v>5720</v>
      </c>
      <c r="CS272" s="214">
        <v>5435</v>
      </c>
      <c r="CT272" s="259">
        <v>5494</v>
      </c>
      <c r="CU272" s="213">
        <v>5998</v>
      </c>
      <c r="CV272" s="214">
        <v>6464</v>
      </c>
      <c r="CW272" s="214"/>
      <c r="CX272" s="259"/>
    </row>
    <row r="273" spans="1:119" x14ac:dyDescent="0.25">
      <c r="A273" s="225"/>
      <c r="B273" s="227" t="s">
        <v>53</v>
      </c>
      <c r="C273" s="8">
        <f t="shared" ref="C273:AH273" si="685">+((C120*C108)+(C69*C57)+(C19*C7))/(C261)</f>
        <v>50.685348278622897</v>
      </c>
      <c r="D273" s="8">
        <f t="shared" si="685"/>
        <v>47.57090909090909</v>
      </c>
      <c r="E273" s="8">
        <f t="shared" si="685"/>
        <v>54.005719733079125</v>
      </c>
      <c r="F273" s="8">
        <f t="shared" si="685"/>
        <v>69.196629213483149</v>
      </c>
      <c r="G273" s="8">
        <f t="shared" si="685"/>
        <v>61.901432181971359</v>
      </c>
      <c r="H273" s="8">
        <f t="shared" si="685"/>
        <v>54.02841918294849</v>
      </c>
      <c r="I273" s="8">
        <f t="shared" si="685"/>
        <v>53.72861842105263</v>
      </c>
      <c r="J273" s="8">
        <f t="shared" si="685"/>
        <v>58.310066127847172</v>
      </c>
      <c r="K273" s="8">
        <f t="shared" si="685"/>
        <v>56.725714285714282</v>
      </c>
      <c r="L273" s="8">
        <f t="shared" si="685"/>
        <v>63.791297935103245</v>
      </c>
      <c r="M273" s="8">
        <f t="shared" si="685"/>
        <v>58.143243243243241</v>
      </c>
      <c r="N273" s="8">
        <f t="shared" si="685"/>
        <v>69.569518716577534</v>
      </c>
      <c r="O273" s="8">
        <f t="shared" si="685"/>
        <v>52.667904903417536</v>
      </c>
      <c r="P273" s="8">
        <f t="shared" si="685"/>
        <v>63.856287425149702</v>
      </c>
      <c r="Q273" s="8">
        <f t="shared" si="685"/>
        <v>68.294679399727144</v>
      </c>
      <c r="R273" s="8">
        <f t="shared" si="685"/>
        <v>56.020689655172411</v>
      </c>
      <c r="S273" s="8">
        <f t="shared" si="685"/>
        <v>64.816046966731903</v>
      </c>
      <c r="T273" s="8">
        <f t="shared" si="685"/>
        <v>52.240816326530613</v>
      </c>
      <c r="U273" s="8">
        <f t="shared" si="685"/>
        <v>64.433447098976103</v>
      </c>
      <c r="V273" s="8">
        <f t="shared" si="685"/>
        <v>67.355850422195417</v>
      </c>
      <c r="W273" s="8">
        <f t="shared" si="685"/>
        <v>67.30271668822769</v>
      </c>
      <c r="X273" s="8">
        <f t="shared" si="685"/>
        <v>68.295546558704459</v>
      </c>
      <c r="Y273" s="8">
        <f t="shared" si="685"/>
        <v>72.857545839210161</v>
      </c>
      <c r="Z273" s="8">
        <f t="shared" si="685"/>
        <v>76.280605226960105</v>
      </c>
      <c r="AA273" s="8">
        <f t="shared" si="685"/>
        <v>79.677203065134094</v>
      </c>
      <c r="AB273" s="8">
        <f t="shared" si="685"/>
        <v>71.028225806451616</v>
      </c>
      <c r="AC273" s="8">
        <f t="shared" si="685"/>
        <v>86.237288135593218</v>
      </c>
      <c r="AD273" s="8">
        <f t="shared" si="685"/>
        <v>80.112759643916917</v>
      </c>
      <c r="AE273" s="8">
        <f t="shared" si="685"/>
        <v>92.820858895705527</v>
      </c>
      <c r="AF273" s="8">
        <f t="shared" si="685"/>
        <v>76.320603015075378</v>
      </c>
      <c r="AG273" s="8">
        <f t="shared" si="685"/>
        <v>68.438715131022818</v>
      </c>
      <c r="AH273" s="8">
        <f t="shared" si="685"/>
        <v>64.877272727272725</v>
      </c>
      <c r="AI273" s="8">
        <f t="shared" ref="AI273:AY273" si="686">+((AI120*AI108)+(AI69*AI57)+(AI19*AI7))/(AI261)</f>
        <v>63.143650242886885</v>
      </c>
      <c r="AJ273" s="8">
        <f t="shared" si="686"/>
        <v>81.544703230653639</v>
      </c>
      <c r="AK273" s="8">
        <f t="shared" si="686"/>
        <v>91.57692307692308</v>
      </c>
      <c r="AL273" s="8">
        <f t="shared" si="686"/>
        <v>78.169811320754718</v>
      </c>
      <c r="AM273" s="8">
        <f t="shared" si="686"/>
        <v>85.401404646137223</v>
      </c>
      <c r="AN273" s="8">
        <f t="shared" si="686"/>
        <v>98.220988339811214</v>
      </c>
      <c r="AO273" s="8">
        <f t="shared" si="686"/>
        <v>87.025826446280988</v>
      </c>
      <c r="AP273" s="8">
        <f t="shared" si="686"/>
        <v>101.98320209973754</v>
      </c>
      <c r="AQ273" s="8">
        <f t="shared" si="686"/>
        <v>110.14792299898683</v>
      </c>
      <c r="AR273" s="8">
        <f t="shared" si="686"/>
        <v>132.07729179149192</v>
      </c>
      <c r="AS273" s="8">
        <f t="shared" si="686"/>
        <v>149.54850746268656</v>
      </c>
      <c r="AT273" s="8">
        <f t="shared" si="686"/>
        <v>165.94821731748726</v>
      </c>
      <c r="AU273" s="8">
        <f t="shared" si="686"/>
        <v>123.21140731556106</v>
      </c>
      <c r="AV273" s="8">
        <f t="shared" si="686"/>
        <v>150.48225712623619</v>
      </c>
      <c r="AW273" s="8">
        <f t="shared" si="686"/>
        <v>140.2986301369863</v>
      </c>
      <c r="AX273" s="8">
        <f t="shared" si="686"/>
        <v>137.06822262118493</v>
      </c>
      <c r="AY273" s="10">
        <f t="shared" si="686"/>
        <v>132.46117769671704</v>
      </c>
      <c r="AZ273" s="8">
        <f>+((AZ120*AZ108)+(AZ69*AZ57)+(AZ19*AZ7)+(AZ159*AZ171))/(AZ261)</f>
        <v>126.90456769983687</v>
      </c>
      <c r="BA273" s="8">
        <f>+((BA120*BA108)+(BA69*BA57)+(BA19*BA7)+(BA159*BA171))/(BA261)-2</f>
        <v>132.66099893730075</v>
      </c>
      <c r="BB273" s="9">
        <f>+((BB120*BB108)+(BB69*BB57)+(BB19*BB7)+(BB159*BB171))/(BB261)</f>
        <v>107.7885050048434</v>
      </c>
      <c r="BC273" s="34">
        <f t="shared" ref="BC273:BK273" si="687">+((BC120*BC108)+(BC69*BC57)+(BC19*BC7)+(BC159*BC171))/(BC261)</f>
        <v>120.51363177381353</v>
      </c>
      <c r="BD273" s="32">
        <f t="shared" si="687"/>
        <v>132.74779086892488</v>
      </c>
      <c r="BE273" s="32">
        <f t="shared" si="687"/>
        <v>134.07341772151898</v>
      </c>
      <c r="BF273" s="33">
        <f t="shared" si="687"/>
        <v>123.69734513274337</v>
      </c>
      <c r="BG273" s="34">
        <f t="shared" si="687"/>
        <v>129.35098235098235</v>
      </c>
      <c r="BH273" s="32">
        <f t="shared" si="687"/>
        <v>147.65350578624916</v>
      </c>
      <c r="BI273" s="32">
        <f t="shared" si="687"/>
        <v>143.92023959646912</v>
      </c>
      <c r="BJ273" s="32">
        <f t="shared" si="687"/>
        <v>139.69939678284183</v>
      </c>
      <c r="BK273" s="213">
        <f t="shared" si="687"/>
        <v>146.90818363273453</v>
      </c>
      <c r="BL273" s="214">
        <f>+((BL120*BL108)+(BL69*BL57)+(BL19*BL7)+(BL159*BL171))/(BL261)+1</f>
        <v>154.35138705416117</v>
      </c>
      <c r="BM273" s="214">
        <f>+((BM120*BM108)+(BM69*BM57)+(BM19*BM7)+(BM159*BM171))/(BM261)</f>
        <v>167.25882756256428</v>
      </c>
      <c r="BN273" s="259">
        <f>+((BN120*BN108)+(BN69*BN57)+(BN19*BN7)+(BN159*BN171))/(BN261)</f>
        <v>178.47603833865816</v>
      </c>
      <c r="BO273" s="213">
        <f>+((BO120*BO108)+(BO69*BO57)+(BO19*BO7)+(BO159*BO171))/(BO261)</f>
        <v>181.83139956490211</v>
      </c>
      <c r="BP273" s="214">
        <f>+((BP120*BP108)+(BP69*BP57)+(BP19*BP7)+(BP159*BP171))/(BP261)</f>
        <v>173.12622898826515</v>
      </c>
      <c r="BQ273" s="214">
        <f>+((BQ120*BQ108)+(BQ69*BQ57)+(BQ19*BQ7)+(BQ159*BQ171)+(BQ210*BQ222))/(BQ261)</f>
        <v>131.88497349949864</v>
      </c>
      <c r="BR273" s="214">
        <v>160</v>
      </c>
      <c r="BS273" s="213">
        <f>+((BS120*BS108)+(BS69*BS57)+(BS19*BS7)+(BS159*BS171)+(BS210*BS222))/(BS261)</f>
        <v>122.81778425655976</v>
      </c>
      <c r="BT273" s="214">
        <f t="shared" si="684"/>
        <v>126.81652892561983</v>
      </c>
      <c r="BU273" s="214">
        <f t="shared" si="684"/>
        <v>123.27269844625305</v>
      </c>
      <c r="BV273" s="259">
        <f t="shared" si="684"/>
        <v>122.17246827924733</v>
      </c>
      <c r="BW273" s="214">
        <v>125</v>
      </c>
      <c r="BX273" s="214">
        <v>127</v>
      </c>
      <c r="BY273" s="214">
        <v>127</v>
      </c>
      <c r="BZ273" s="214">
        <v>133</v>
      </c>
      <c r="CA273" s="213">
        <v>124</v>
      </c>
      <c r="CB273" s="214">
        <v>130</v>
      </c>
      <c r="CC273" s="214">
        <v>139</v>
      </c>
      <c r="CD273" s="259">
        <v>143</v>
      </c>
      <c r="CE273" s="213">
        <v>155</v>
      </c>
      <c r="CF273" s="214">
        <v>151</v>
      </c>
      <c r="CG273" s="214">
        <v>163</v>
      </c>
      <c r="CH273" s="259">
        <v>188</v>
      </c>
      <c r="CI273" s="213">
        <v>198</v>
      </c>
      <c r="CJ273" s="214">
        <v>229</v>
      </c>
      <c r="CK273" s="214">
        <v>230</v>
      </c>
      <c r="CL273" s="259">
        <v>223</v>
      </c>
      <c r="CM273" s="213">
        <v>238</v>
      </c>
      <c r="CN273" s="214">
        <v>235</v>
      </c>
      <c r="CO273" s="214">
        <v>218</v>
      </c>
      <c r="CP273" s="259">
        <v>203</v>
      </c>
      <c r="CQ273" s="213">
        <v>215</v>
      </c>
      <c r="CR273" s="214">
        <v>198</v>
      </c>
      <c r="CS273" s="214">
        <v>221</v>
      </c>
      <c r="CT273" s="259">
        <v>237</v>
      </c>
      <c r="CU273" s="213">
        <v>254</v>
      </c>
      <c r="CV273" s="214">
        <v>270</v>
      </c>
      <c r="CW273" s="214"/>
      <c r="CX273" s="259"/>
    </row>
    <row r="274" spans="1:119" s="1" customFormat="1" x14ac:dyDescent="0.25">
      <c r="A274" s="306"/>
      <c r="B274" s="290" t="s">
        <v>54</v>
      </c>
      <c r="C274" s="63">
        <f t="shared" ref="C274:AH274" si="688">+((C121*C109)+(C70*C58)+(C20*C8))/(C262)</f>
        <v>369.65849106904824</v>
      </c>
      <c r="D274" s="63">
        <f t="shared" si="688"/>
        <v>350.98247778874628</v>
      </c>
      <c r="E274" s="63">
        <f t="shared" si="688"/>
        <v>389.00487054601382</v>
      </c>
      <c r="F274" s="63">
        <f t="shared" si="688"/>
        <v>405.97458737228192</v>
      </c>
      <c r="G274" s="63">
        <f t="shared" si="688"/>
        <v>374.95924764890282</v>
      </c>
      <c r="H274" s="63">
        <f t="shared" si="688"/>
        <v>386.6</v>
      </c>
      <c r="I274" s="63">
        <f t="shared" si="688"/>
        <v>398.68556579258211</v>
      </c>
      <c r="J274" s="63">
        <f t="shared" si="688"/>
        <v>401.48983931947072</v>
      </c>
      <c r="K274" s="63">
        <f t="shared" si="688"/>
        <v>379.17508650519034</v>
      </c>
      <c r="L274" s="63">
        <f t="shared" si="688"/>
        <v>406.49569918898993</v>
      </c>
      <c r="M274" s="63">
        <f t="shared" si="688"/>
        <v>418.03216888665492</v>
      </c>
      <c r="N274" s="63">
        <f t="shared" si="688"/>
        <v>420.21629703463742</v>
      </c>
      <c r="O274" s="63">
        <f t="shared" si="688"/>
        <v>413.81872960080341</v>
      </c>
      <c r="P274" s="63">
        <f t="shared" si="688"/>
        <v>467.00309423347397</v>
      </c>
      <c r="Q274" s="63">
        <f t="shared" si="688"/>
        <v>503.19879518072287</v>
      </c>
      <c r="R274" s="63">
        <f t="shared" si="688"/>
        <v>485.80420757363254</v>
      </c>
      <c r="S274" s="63">
        <f t="shared" si="688"/>
        <v>475.57684797768479</v>
      </c>
      <c r="T274" s="63">
        <f t="shared" si="688"/>
        <v>491.26840066408414</v>
      </c>
      <c r="U274" s="63">
        <f t="shared" si="688"/>
        <v>446.78472410981243</v>
      </c>
      <c r="V274" s="63">
        <f t="shared" si="688"/>
        <v>467.98247078464107</v>
      </c>
      <c r="W274" s="63">
        <f t="shared" si="688"/>
        <v>508.52127343052661</v>
      </c>
      <c r="X274" s="63">
        <f t="shared" si="688"/>
        <v>501.1600232761129</v>
      </c>
      <c r="Y274" s="63">
        <f t="shared" si="688"/>
        <v>523.37510904332657</v>
      </c>
      <c r="Z274" s="63">
        <f t="shared" si="688"/>
        <v>552.81991651759097</v>
      </c>
      <c r="AA274" s="63">
        <f t="shared" si="688"/>
        <v>622.65916955017303</v>
      </c>
      <c r="AB274" s="63">
        <f t="shared" si="688"/>
        <v>547.0839584535488</v>
      </c>
      <c r="AC274" s="63">
        <f t="shared" si="688"/>
        <v>656.04640582347588</v>
      </c>
      <c r="AD274" s="63">
        <f t="shared" si="688"/>
        <v>678.20636420919971</v>
      </c>
      <c r="AE274" s="63">
        <f t="shared" si="688"/>
        <v>748.89527145359023</v>
      </c>
      <c r="AF274" s="63">
        <f t="shared" si="688"/>
        <v>686.10340518587941</v>
      </c>
      <c r="AG274" s="63">
        <f t="shared" si="688"/>
        <v>708.81287069988139</v>
      </c>
      <c r="AH274" s="63">
        <f t="shared" si="688"/>
        <v>691.38045375218155</v>
      </c>
      <c r="AI274" s="63">
        <f t="shared" ref="AI274:AY274" si="689">+((AI121*AI109)+(AI70*AI58)+(AI20*AI8))/(AI262)</f>
        <v>730.74144486692012</v>
      </c>
      <c r="AJ274" s="63">
        <f t="shared" si="689"/>
        <v>708.25519031141869</v>
      </c>
      <c r="AK274" s="63">
        <f t="shared" si="689"/>
        <v>722.41386083052748</v>
      </c>
      <c r="AL274" s="63">
        <f t="shared" si="689"/>
        <v>694.73402758232476</v>
      </c>
      <c r="AM274" s="63">
        <f t="shared" si="689"/>
        <v>659.59151656013944</v>
      </c>
      <c r="AN274" s="63">
        <f t="shared" si="689"/>
        <v>683.57288864981172</v>
      </c>
      <c r="AO274" s="63">
        <f t="shared" si="689"/>
        <v>696.44627429805621</v>
      </c>
      <c r="AP274" s="63">
        <f t="shared" si="689"/>
        <v>652.80285412262151</v>
      </c>
      <c r="AQ274" s="63">
        <f t="shared" si="689"/>
        <v>742.5840707964602</v>
      </c>
      <c r="AR274" s="63">
        <f t="shared" si="689"/>
        <v>834.82249240121575</v>
      </c>
      <c r="AS274" s="63">
        <f t="shared" si="689"/>
        <v>965.1130463358528</v>
      </c>
      <c r="AT274" s="63">
        <f t="shared" si="689"/>
        <v>1102.83908045977</v>
      </c>
      <c r="AU274" s="63">
        <f t="shared" si="689"/>
        <v>951.3922155688623</v>
      </c>
      <c r="AV274" s="63">
        <f t="shared" si="689"/>
        <v>883.76647230320702</v>
      </c>
      <c r="AW274" s="63">
        <f t="shared" si="689"/>
        <v>868.05373961218834</v>
      </c>
      <c r="AX274" s="63">
        <f t="shared" si="689"/>
        <v>842.26411403018449</v>
      </c>
      <c r="AY274" s="62">
        <f t="shared" si="689"/>
        <v>855.88898575995347</v>
      </c>
      <c r="AZ274" s="63">
        <f>+((AZ121*AZ109)+(AZ70*AZ58)+(AZ20*AZ8)+(AZ160*AZ172))/(AZ262)</f>
        <v>781.80976508521417</v>
      </c>
      <c r="BA274" s="63">
        <f>+((BA121*BA109)+(BA70*BA58)+(BA20*BA8)+(BA160*BA172))/(BA262)</f>
        <v>802.9570382102554</v>
      </c>
      <c r="BB274" s="64">
        <f>+((BB121*BB109)+(BB70*BB58)+(BB20*BB8)+(BB160*BB172))/(BB262)+1</f>
        <v>725.39677837437512</v>
      </c>
      <c r="BC274" s="65">
        <f>+((BC121*BC109)+(BC70*BC58)+(BC20*BC8)+(BC160*BC172))/(BC262)+1</f>
        <v>774.46125385405958</v>
      </c>
      <c r="BD274" s="66">
        <f t="shared" ref="BD274:BN274" si="690">+((BD121*BD109)+(BD70*BD58)+(BD20*BD8)+(BD160*BD172))/(BD262)</f>
        <v>845.81877953564822</v>
      </c>
      <c r="BE274" s="66">
        <f t="shared" si="690"/>
        <v>864.79878526645768</v>
      </c>
      <c r="BF274" s="67">
        <f t="shared" si="690"/>
        <v>813.19462686567169</v>
      </c>
      <c r="BG274" s="65">
        <f t="shared" si="690"/>
        <v>844.68099638409001</v>
      </c>
      <c r="BH274" s="66">
        <f t="shared" si="690"/>
        <v>893.03121893020477</v>
      </c>
      <c r="BI274" s="66">
        <f t="shared" si="690"/>
        <v>874.4772814051164</v>
      </c>
      <c r="BJ274" s="66">
        <f t="shared" si="690"/>
        <v>833.11588330632094</v>
      </c>
      <c r="BK274" s="109">
        <f t="shared" si="690"/>
        <v>895.97776862906551</v>
      </c>
      <c r="BL274" s="110">
        <f t="shared" si="690"/>
        <v>904.21989215098858</v>
      </c>
      <c r="BM274" s="110">
        <f t="shared" si="690"/>
        <v>969.00060926076355</v>
      </c>
      <c r="BN274" s="111">
        <f t="shared" si="690"/>
        <v>986.98538080641356</v>
      </c>
      <c r="BO274" s="109">
        <f>+((BO121*BO109)+(BO70*BO58)+(BO20*BO8)+(BO160*BO172))/(BO262)-7</f>
        <v>933.7952369834228</v>
      </c>
      <c r="BP274" s="110">
        <f>+((BP121*BP109)+(BP70*BP58)+(BP20*BP8)+(BP160*BP172))/(BP262)</f>
        <v>910.3585498742666</v>
      </c>
      <c r="BQ274" s="110">
        <f>+((BQ121*BQ109)+(BQ70*BQ58)+(BQ20*BQ8)+(BQ160*BQ172)+(BQ211*BQ223))/(BQ262)</f>
        <v>561.23076923076928</v>
      </c>
      <c r="BR274" s="110">
        <f>+((BR121*BR109)+(BR70*BR58)+(BR20*BR8)+(BR160*BR172)+(BR211*BR223))/(BR262)+1</f>
        <v>462.65372638571728</v>
      </c>
      <c r="BS274" s="109">
        <f>+((BS121*BS109)+(BS70*BS58)+(BS20*BS8)+(BS160*BS172)+(BS211*BS223))/(BS262)</f>
        <v>420.78883052845964</v>
      </c>
      <c r="BT274" s="110">
        <f>+((BT121*BT109)+(BT70*BT58)+(BT20*BT8)+(BT160*BT172)+(BT211*BT223))/(BT262)</f>
        <v>449.26964047936087</v>
      </c>
      <c r="BU274" s="110">
        <f>+((BU121*BU109)+(BU70*BU58)+(BU20*BU8)+(BU160*BU172)+(BU211*BU223))/(BU262)</f>
        <v>462.77216466489409</v>
      </c>
      <c r="BV274" s="111">
        <f>+((BV121*BV109)+(BV70*BV58)+(BV20*BV8)+(BV160*BV172)+(BV211*BV223))/(BV262)</f>
        <v>447.17907560482496</v>
      </c>
      <c r="BW274" s="110">
        <v>475</v>
      </c>
      <c r="BX274" s="110">
        <v>483</v>
      </c>
      <c r="BY274" s="110">
        <v>473</v>
      </c>
      <c r="BZ274" s="110">
        <v>454</v>
      </c>
      <c r="CA274" s="109">
        <v>459</v>
      </c>
      <c r="CB274" s="110">
        <v>500</v>
      </c>
      <c r="CC274" s="110">
        <v>537</v>
      </c>
      <c r="CD274" s="111">
        <v>519</v>
      </c>
      <c r="CE274" s="109">
        <v>511</v>
      </c>
      <c r="CF274" s="110">
        <v>463</v>
      </c>
      <c r="CG274" s="110">
        <v>645</v>
      </c>
      <c r="CH274" s="111">
        <v>652</v>
      </c>
      <c r="CI274" s="109">
        <v>689</v>
      </c>
      <c r="CJ274" s="110">
        <v>791</v>
      </c>
      <c r="CK274" s="110">
        <v>784</v>
      </c>
      <c r="CL274" s="111">
        <v>747</v>
      </c>
      <c r="CM274" s="109">
        <v>745</v>
      </c>
      <c r="CN274" s="110">
        <v>718</v>
      </c>
      <c r="CO274" s="110">
        <v>691</v>
      </c>
      <c r="CP274" s="111">
        <v>639</v>
      </c>
      <c r="CQ274" s="109">
        <v>712</v>
      </c>
      <c r="CR274" s="110">
        <v>685</v>
      </c>
      <c r="CS274" s="110">
        <v>757</v>
      </c>
      <c r="CT274" s="111">
        <v>801</v>
      </c>
      <c r="CU274" s="109">
        <v>780</v>
      </c>
      <c r="CV274" s="110">
        <v>803</v>
      </c>
      <c r="CW274" s="110"/>
      <c r="CX274" s="111"/>
      <c r="CY274" s="347"/>
      <c r="CZ274" s="347"/>
      <c r="DA274" s="347"/>
      <c r="DB274" s="347"/>
      <c r="DC274" s="347"/>
      <c r="DD274" s="347"/>
      <c r="DE274" s="347"/>
      <c r="DF274" s="347"/>
      <c r="DG274" s="347"/>
      <c r="DH274" s="347"/>
      <c r="DI274" s="347"/>
      <c r="DJ274" s="347"/>
      <c r="DK274" s="347"/>
      <c r="DL274" s="347"/>
      <c r="DM274" s="347"/>
      <c r="DN274" s="347"/>
      <c r="DO274" s="347"/>
    </row>
    <row r="275" spans="1:119" x14ac:dyDescent="0.25">
      <c r="A275" s="225"/>
      <c r="B275" s="292" t="s">
        <v>134</v>
      </c>
      <c r="AY275" s="22"/>
      <c r="BB275" s="23"/>
      <c r="BC275" s="49"/>
      <c r="BD275" s="50"/>
      <c r="BE275" s="50"/>
      <c r="BF275" s="51"/>
      <c r="BG275" s="49"/>
      <c r="BH275" s="50"/>
      <c r="BK275" s="225"/>
      <c r="BL275" s="208"/>
      <c r="BM275" s="208"/>
      <c r="BN275" s="227"/>
      <c r="BO275" s="225"/>
      <c r="BP275" s="208"/>
      <c r="BQ275" s="208"/>
      <c r="BR275" s="208"/>
      <c r="BS275" s="225"/>
      <c r="BT275" s="208"/>
      <c r="BU275" s="208"/>
      <c r="BV275" s="227"/>
      <c r="BW275" s="208"/>
      <c r="BX275" s="208"/>
      <c r="BY275" s="208"/>
      <c r="BZ275" s="208"/>
      <c r="CA275" s="225"/>
      <c r="CB275" s="208"/>
      <c r="CC275" s="208"/>
      <c r="CD275" s="227"/>
      <c r="CE275" s="225"/>
      <c r="CF275" s="208"/>
      <c r="CG275" s="208"/>
      <c r="CH275" s="227"/>
      <c r="CI275" s="225"/>
      <c r="CJ275" s="208"/>
      <c r="CK275" s="208"/>
      <c r="CL275" s="227"/>
      <c r="CM275" s="225"/>
      <c r="CN275" s="208"/>
      <c r="CO275" s="208"/>
      <c r="CP275" s="227"/>
      <c r="CQ275" s="225"/>
      <c r="CR275" s="208"/>
      <c r="CS275" s="208"/>
      <c r="CT275" s="227"/>
      <c r="CU275" s="225"/>
      <c r="CV275" s="208"/>
      <c r="CW275" s="208"/>
      <c r="CX275" s="227"/>
    </row>
    <row r="276" spans="1:119" x14ac:dyDescent="0.25">
      <c r="A276" s="225"/>
      <c r="B276" s="227" t="s">
        <v>59</v>
      </c>
      <c r="C276" s="15">
        <f t="shared" ref="C276:AH276" si="691">+C123+C72+C22</f>
        <v>0</v>
      </c>
      <c r="D276" s="15">
        <f t="shared" si="691"/>
        <v>0</v>
      </c>
      <c r="E276" s="15">
        <f t="shared" si="691"/>
        <v>0</v>
      </c>
      <c r="F276" s="15">
        <f t="shared" si="691"/>
        <v>0</v>
      </c>
      <c r="G276" s="15">
        <f t="shared" si="691"/>
        <v>0</v>
      </c>
      <c r="H276" s="15">
        <f t="shared" si="691"/>
        <v>0</v>
      </c>
      <c r="I276" s="15">
        <f t="shared" si="691"/>
        <v>0</v>
      </c>
      <c r="J276" s="15">
        <f t="shared" si="691"/>
        <v>0</v>
      </c>
      <c r="K276" s="15">
        <f t="shared" si="691"/>
        <v>0</v>
      </c>
      <c r="L276" s="15">
        <f t="shared" si="691"/>
        <v>0</v>
      </c>
      <c r="M276" s="15" t="e">
        <f t="shared" si="691"/>
        <v>#VALUE!</v>
      </c>
      <c r="N276" s="15">
        <f t="shared" si="691"/>
        <v>0</v>
      </c>
      <c r="O276" s="15">
        <f t="shared" si="691"/>
        <v>0</v>
      </c>
      <c r="P276" s="15">
        <f t="shared" si="691"/>
        <v>0</v>
      </c>
      <c r="Q276" s="15">
        <f t="shared" si="691"/>
        <v>0</v>
      </c>
      <c r="R276" s="15">
        <f t="shared" si="691"/>
        <v>0</v>
      </c>
      <c r="S276" s="15">
        <f t="shared" si="691"/>
        <v>0</v>
      </c>
      <c r="T276" s="15">
        <f t="shared" si="691"/>
        <v>0</v>
      </c>
      <c r="U276" s="15">
        <f t="shared" si="691"/>
        <v>233.2</v>
      </c>
      <c r="V276" s="15">
        <f t="shared" si="691"/>
        <v>246.1</v>
      </c>
      <c r="W276" s="15">
        <f t="shared" si="691"/>
        <v>241.9</v>
      </c>
      <c r="X276" s="15">
        <f t="shared" si="691"/>
        <v>235.9</v>
      </c>
      <c r="Y276" s="15">
        <f t="shared" si="691"/>
        <v>290.60000000000002</v>
      </c>
      <c r="Z276" s="15">
        <f t="shared" si="691"/>
        <v>289.8</v>
      </c>
      <c r="AA276" s="15">
        <f t="shared" si="691"/>
        <v>305.70000000000005</v>
      </c>
      <c r="AB276" s="15">
        <f t="shared" si="691"/>
        <v>315.2</v>
      </c>
      <c r="AC276" s="15">
        <f t="shared" si="691"/>
        <v>311.89999999999998</v>
      </c>
      <c r="AD276" s="15">
        <f t="shared" si="691"/>
        <v>300.69999999999993</v>
      </c>
      <c r="AE276" s="15">
        <f t="shared" si="691"/>
        <v>310.90000000000003</v>
      </c>
      <c r="AF276" s="15">
        <f t="shared" si="691"/>
        <v>369.4</v>
      </c>
      <c r="AG276" s="15">
        <f t="shared" si="691"/>
        <v>414</v>
      </c>
      <c r="AH276" s="15">
        <f t="shared" si="691"/>
        <v>422.5</v>
      </c>
      <c r="AI276" s="15">
        <f t="shared" ref="AI276:AY276" si="692">+AI123+AI72+AI22</f>
        <v>450</v>
      </c>
      <c r="AJ276" s="15">
        <f t="shared" si="692"/>
        <v>495.4</v>
      </c>
      <c r="AK276" s="15">
        <f t="shared" si="692"/>
        <v>493</v>
      </c>
      <c r="AL276" s="15">
        <f t="shared" si="692"/>
        <v>484.49999999999994</v>
      </c>
      <c r="AM276" s="15">
        <f t="shared" si="692"/>
        <v>473</v>
      </c>
      <c r="AN276" s="15">
        <f t="shared" si="692"/>
        <v>546.20000000000005</v>
      </c>
      <c r="AO276" s="15">
        <f t="shared" si="692"/>
        <v>567.09999999999991</v>
      </c>
      <c r="AP276" s="15">
        <f t="shared" si="692"/>
        <v>539.9</v>
      </c>
      <c r="AQ276" s="15">
        <f t="shared" si="692"/>
        <v>525.6</v>
      </c>
      <c r="AR276" s="15">
        <f t="shared" si="692"/>
        <v>599.20000000000005</v>
      </c>
      <c r="AS276" s="15">
        <f t="shared" si="692"/>
        <v>575.5</v>
      </c>
      <c r="AT276" s="15">
        <f t="shared" si="692"/>
        <v>427.6</v>
      </c>
      <c r="AU276" s="15">
        <f t="shared" si="692"/>
        <v>484.2</v>
      </c>
      <c r="AV276" s="15">
        <f t="shared" si="692"/>
        <v>479.3</v>
      </c>
      <c r="AW276" s="15">
        <f t="shared" si="692"/>
        <v>458.9</v>
      </c>
      <c r="AX276" s="15">
        <f t="shared" si="692"/>
        <v>460.6</v>
      </c>
      <c r="AY276" s="14">
        <f t="shared" si="692"/>
        <v>451.5</v>
      </c>
      <c r="AZ276" s="15">
        <f t="shared" ref="AZ276:BP276" si="693">+AZ123+AZ72+AZ22+AZ174</f>
        <v>522.69999999999993</v>
      </c>
      <c r="BA276" s="15">
        <f t="shared" si="693"/>
        <v>564.1</v>
      </c>
      <c r="BB276" s="16">
        <f t="shared" si="693"/>
        <v>588.19999999999993</v>
      </c>
      <c r="BC276" s="29">
        <f t="shared" si="693"/>
        <v>549.6</v>
      </c>
      <c r="BD276" s="30">
        <f t="shared" si="693"/>
        <v>568.5</v>
      </c>
      <c r="BE276" s="30">
        <f t="shared" si="693"/>
        <v>625.6</v>
      </c>
      <c r="BF276" s="31">
        <f t="shared" si="693"/>
        <v>561.20000000000005</v>
      </c>
      <c r="BG276" s="29">
        <f t="shared" si="693"/>
        <v>550.90000000000009</v>
      </c>
      <c r="BH276" s="30">
        <f t="shared" si="693"/>
        <v>591.29999999999995</v>
      </c>
      <c r="BI276" s="57">
        <f t="shared" si="693"/>
        <v>661.1</v>
      </c>
      <c r="BJ276" s="30">
        <f t="shared" si="693"/>
        <v>591.09999999999991</v>
      </c>
      <c r="BK276" s="210">
        <f t="shared" si="693"/>
        <v>571.30000000000007</v>
      </c>
      <c r="BL276" s="221">
        <f t="shared" si="693"/>
        <v>582.29999999999995</v>
      </c>
      <c r="BM276" s="221">
        <f t="shared" si="693"/>
        <v>596.59999999999991</v>
      </c>
      <c r="BN276" s="222">
        <f t="shared" si="693"/>
        <v>537.79999999999995</v>
      </c>
      <c r="BO276" s="210">
        <f t="shared" si="693"/>
        <v>498.2</v>
      </c>
      <c r="BP276" s="221">
        <f t="shared" si="693"/>
        <v>532.1</v>
      </c>
      <c r="BQ276" s="221">
        <f t="shared" ref="BQ276:BV278" si="694">+BQ123+BQ72+BQ22+BQ174+BQ225</f>
        <v>591.29999999999995</v>
      </c>
      <c r="BR276" s="221">
        <f t="shared" si="694"/>
        <v>432</v>
      </c>
      <c r="BS276" s="210">
        <f t="shared" si="694"/>
        <v>28.8</v>
      </c>
      <c r="BT276" s="221">
        <f t="shared" si="694"/>
        <v>245.1</v>
      </c>
      <c r="BU276" s="221">
        <f t="shared" si="694"/>
        <v>560.29999999999995</v>
      </c>
      <c r="BV276" s="222">
        <f t="shared" si="694"/>
        <v>502.4</v>
      </c>
      <c r="BW276" s="214">
        <f t="shared" ref="BW276:BX276" si="695">+BW123+BW72+BW22+BW174+BW225</f>
        <v>529</v>
      </c>
      <c r="BX276" s="214">
        <f t="shared" si="695"/>
        <v>156</v>
      </c>
      <c r="BY276" s="214">
        <f t="shared" ref="BY276:BZ276" si="696">+BY123+BY72+BY22+BY174+BY225</f>
        <v>530</v>
      </c>
      <c r="BZ276" s="214">
        <f t="shared" si="696"/>
        <v>572</v>
      </c>
      <c r="CA276" s="213">
        <f t="shared" ref="CA276:CB276" si="697">+CA123+CA72+CA22+CA174+CA225</f>
        <v>604</v>
      </c>
      <c r="CB276" s="214">
        <f t="shared" si="697"/>
        <v>650</v>
      </c>
      <c r="CC276" s="214">
        <f t="shared" ref="CC276:CF276" si="698">+CC123+CC72+CC22+CC174+CC225</f>
        <v>729</v>
      </c>
      <c r="CD276" s="259">
        <f t="shared" si="698"/>
        <v>622</v>
      </c>
      <c r="CE276" s="213">
        <f t="shared" si="698"/>
        <v>468</v>
      </c>
      <c r="CF276" s="214">
        <f t="shared" si="698"/>
        <v>0</v>
      </c>
      <c r="CG276" s="214">
        <f t="shared" ref="CG276:CJ276" si="699">+CG123+CG72+CG22+CG174+CG225</f>
        <v>472</v>
      </c>
      <c r="CH276" s="259">
        <f t="shared" si="699"/>
        <v>691</v>
      </c>
      <c r="CI276" s="213">
        <f t="shared" si="699"/>
        <v>653</v>
      </c>
      <c r="CJ276" s="214">
        <f t="shared" si="699"/>
        <v>745</v>
      </c>
      <c r="CK276" s="214">
        <f t="shared" ref="CK276:CN276" si="700">+CK123+CK72+CK22+CK174+CK225</f>
        <v>677</v>
      </c>
      <c r="CL276" s="259">
        <f t="shared" si="700"/>
        <v>622</v>
      </c>
      <c r="CM276" s="213">
        <f t="shared" si="700"/>
        <v>665</v>
      </c>
      <c r="CN276" s="214">
        <f t="shared" si="700"/>
        <v>739</v>
      </c>
      <c r="CO276" s="214">
        <f t="shared" ref="CO276:CQ276" si="701">+CO123+CO72+CO22+CO174+CO225</f>
        <v>747</v>
      </c>
      <c r="CP276" s="259">
        <f t="shared" si="701"/>
        <v>686</v>
      </c>
      <c r="CQ276" s="213">
        <f t="shared" si="701"/>
        <v>664</v>
      </c>
      <c r="CR276" s="214">
        <f t="shared" ref="CR276:CU276" si="702">+CR123+CR72+CR22+CR174+CR225</f>
        <v>696</v>
      </c>
      <c r="CS276" s="214">
        <f t="shared" si="702"/>
        <v>821</v>
      </c>
      <c r="CT276" s="259">
        <f t="shared" si="702"/>
        <v>752</v>
      </c>
      <c r="CU276" s="213">
        <f t="shared" si="702"/>
        <v>551</v>
      </c>
      <c r="CV276" s="214">
        <f t="shared" ref="CV276:CX276" si="703">+CV123+CV72+CV22+CV174+CV225</f>
        <v>581</v>
      </c>
      <c r="CW276" s="214">
        <f t="shared" si="703"/>
        <v>0</v>
      </c>
      <c r="CX276" s="259">
        <f t="shared" si="703"/>
        <v>0</v>
      </c>
    </row>
    <row r="277" spans="1:119" x14ac:dyDescent="0.25">
      <c r="A277" s="225"/>
      <c r="B277" s="227" t="s">
        <v>61</v>
      </c>
      <c r="C277" s="15">
        <f t="shared" ref="C277:AH277" si="704">+C124+C73+C23</f>
        <v>0</v>
      </c>
      <c r="D277" s="15">
        <f t="shared" si="704"/>
        <v>0</v>
      </c>
      <c r="E277" s="15">
        <f t="shared" si="704"/>
        <v>0</v>
      </c>
      <c r="F277" s="15">
        <f t="shared" si="704"/>
        <v>0</v>
      </c>
      <c r="G277" s="15">
        <f t="shared" si="704"/>
        <v>0</v>
      </c>
      <c r="H277" s="15">
        <f t="shared" si="704"/>
        <v>0</v>
      </c>
      <c r="I277" s="15">
        <f t="shared" si="704"/>
        <v>0</v>
      </c>
      <c r="J277" s="15">
        <f t="shared" si="704"/>
        <v>0</v>
      </c>
      <c r="K277" s="15">
        <f t="shared" si="704"/>
        <v>0</v>
      </c>
      <c r="L277" s="15">
        <f t="shared" si="704"/>
        <v>0</v>
      </c>
      <c r="M277" s="15">
        <f t="shared" si="704"/>
        <v>0</v>
      </c>
      <c r="N277" s="15">
        <f t="shared" si="704"/>
        <v>0</v>
      </c>
      <c r="O277" s="15">
        <f t="shared" si="704"/>
        <v>0</v>
      </c>
      <c r="P277" s="15">
        <f t="shared" si="704"/>
        <v>0</v>
      </c>
      <c r="Q277" s="15">
        <f t="shared" si="704"/>
        <v>0</v>
      </c>
      <c r="R277" s="15" t="e">
        <f t="shared" si="704"/>
        <v>#VALUE!</v>
      </c>
      <c r="S277" s="15">
        <f t="shared" si="704"/>
        <v>0</v>
      </c>
      <c r="T277" s="15">
        <f t="shared" si="704"/>
        <v>0</v>
      </c>
      <c r="U277" s="15">
        <f t="shared" si="704"/>
        <v>199.5</v>
      </c>
      <c r="V277" s="15">
        <f t="shared" si="704"/>
        <v>278.10000000000002</v>
      </c>
      <c r="W277" s="15">
        <f t="shared" si="704"/>
        <v>270.5</v>
      </c>
      <c r="X277" s="15">
        <f t="shared" si="704"/>
        <v>478.4</v>
      </c>
      <c r="Y277" s="15">
        <f t="shared" si="704"/>
        <v>280</v>
      </c>
      <c r="Z277" s="15">
        <f t="shared" si="704"/>
        <v>345</v>
      </c>
      <c r="AA277" s="15">
        <f t="shared" si="704"/>
        <v>283</v>
      </c>
      <c r="AB277" s="15">
        <f t="shared" si="704"/>
        <v>381.4</v>
      </c>
      <c r="AC277" s="15">
        <f t="shared" si="704"/>
        <v>287.5</v>
      </c>
      <c r="AD277" s="15">
        <f t="shared" si="704"/>
        <v>350.4</v>
      </c>
      <c r="AE277" s="15">
        <f t="shared" si="704"/>
        <v>313.5</v>
      </c>
      <c r="AF277" s="15">
        <f t="shared" si="704"/>
        <v>378.09999999999997</v>
      </c>
      <c r="AG277" s="15">
        <f t="shared" si="704"/>
        <v>252.1</v>
      </c>
      <c r="AH277" s="15">
        <f t="shared" si="704"/>
        <v>287.8</v>
      </c>
      <c r="AI277" s="15">
        <f t="shared" ref="AI277:AY277" si="705">+AI124+AI73+AI23</f>
        <v>231.20000000000002</v>
      </c>
      <c r="AJ277" s="15">
        <f t="shared" si="705"/>
        <v>341.6</v>
      </c>
      <c r="AK277" s="15">
        <f t="shared" si="705"/>
        <v>331.4</v>
      </c>
      <c r="AL277" s="15">
        <f t="shared" si="705"/>
        <v>261.5</v>
      </c>
      <c r="AM277" s="15">
        <f t="shared" si="705"/>
        <v>110.7</v>
      </c>
      <c r="AN277" s="15">
        <f t="shared" si="705"/>
        <v>151</v>
      </c>
      <c r="AO277" s="15">
        <f t="shared" si="705"/>
        <v>206.8</v>
      </c>
      <c r="AP277" s="15">
        <f t="shared" si="705"/>
        <v>316.70000000000005</v>
      </c>
      <c r="AQ277" s="15">
        <f t="shared" si="705"/>
        <v>136.70000000000002</v>
      </c>
      <c r="AR277" s="15">
        <f t="shared" si="705"/>
        <v>221.5</v>
      </c>
      <c r="AS277" s="15">
        <f t="shared" si="705"/>
        <v>271</v>
      </c>
      <c r="AT277" s="15">
        <f t="shared" si="705"/>
        <v>327.3</v>
      </c>
      <c r="AU277" s="15">
        <f t="shared" si="705"/>
        <v>198.2</v>
      </c>
      <c r="AV277" s="15">
        <f t="shared" si="705"/>
        <v>259.59999999999997</v>
      </c>
      <c r="AW277" s="15">
        <f t="shared" si="705"/>
        <v>241.3</v>
      </c>
      <c r="AX277" s="15">
        <f t="shared" si="705"/>
        <v>281.5</v>
      </c>
      <c r="AY277" s="14">
        <f t="shared" si="705"/>
        <v>164.10000000000002</v>
      </c>
      <c r="AZ277" s="15">
        <f t="shared" ref="AZ277:BP277" si="706">+AZ124+AZ73+AZ23+AZ175</f>
        <v>201.20000000000002</v>
      </c>
      <c r="BA277" s="15">
        <f t="shared" si="706"/>
        <v>232.89999999999998</v>
      </c>
      <c r="BB277" s="16">
        <f t="shared" si="706"/>
        <v>376.40000000000003</v>
      </c>
      <c r="BC277" s="29">
        <f t="shared" si="706"/>
        <v>111.00000000000001</v>
      </c>
      <c r="BD277" s="30">
        <f t="shared" si="706"/>
        <v>185.89999999999998</v>
      </c>
      <c r="BE277" s="30">
        <f t="shared" si="706"/>
        <v>137.70000000000002</v>
      </c>
      <c r="BF277" s="31">
        <f t="shared" si="706"/>
        <v>219.2</v>
      </c>
      <c r="BG277" s="29">
        <f t="shared" si="706"/>
        <v>72.300000000000011</v>
      </c>
      <c r="BH277" s="30">
        <f t="shared" si="706"/>
        <v>138.9</v>
      </c>
      <c r="BI277" s="30">
        <f t="shared" si="706"/>
        <v>144.1</v>
      </c>
      <c r="BJ277" s="30">
        <f t="shared" si="706"/>
        <v>258.09999999999997</v>
      </c>
      <c r="BK277" s="210">
        <f t="shared" si="706"/>
        <v>80.399999999999991</v>
      </c>
      <c r="BL277" s="221">
        <f t="shared" si="706"/>
        <v>90.9</v>
      </c>
      <c r="BM277" s="221">
        <f t="shared" si="706"/>
        <v>139.6</v>
      </c>
      <c r="BN277" s="222">
        <f t="shared" si="706"/>
        <v>205.9</v>
      </c>
      <c r="BO277" s="210">
        <f t="shared" si="706"/>
        <v>77.900000000000006</v>
      </c>
      <c r="BP277" s="221">
        <f t="shared" si="706"/>
        <v>105.69999999999999</v>
      </c>
      <c r="BQ277" s="221">
        <f t="shared" si="694"/>
        <v>143.30000000000001</v>
      </c>
      <c r="BR277" s="221">
        <f t="shared" si="694"/>
        <v>218.60000000000002</v>
      </c>
      <c r="BS277" s="210">
        <f t="shared" si="694"/>
        <v>34.5</v>
      </c>
      <c r="BT277" s="221">
        <f t="shared" si="694"/>
        <v>42.800000000000004</v>
      </c>
      <c r="BU277" s="221">
        <f t="shared" si="694"/>
        <v>143.13999999999999</v>
      </c>
      <c r="BV277" s="222">
        <f t="shared" si="694"/>
        <v>294.09999999999997</v>
      </c>
      <c r="BW277" s="214">
        <f t="shared" ref="BW277:BX277" si="707">+BW124+BW73+BW23+BW175+BW226</f>
        <v>215</v>
      </c>
      <c r="BX277" s="214">
        <f t="shared" si="707"/>
        <v>144</v>
      </c>
      <c r="BY277" s="214">
        <f t="shared" ref="BY277:BZ277" si="708">+BY124+BY73+BY23+BY175+BY226</f>
        <v>258</v>
      </c>
      <c r="BZ277" s="214">
        <f t="shared" si="708"/>
        <v>349</v>
      </c>
      <c r="CA277" s="213">
        <f t="shared" ref="CA277:CB277" si="709">+CA124+CA73+CA23+CA175+CA226</f>
        <v>187</v>
      </c>
      <c r="CB277" s="214">
        <f t="shared" si="709"/>
        <v>295</v>
      </c>
      <c r="CC277" s="214">
        <f t="shared" ref="CC277:CF277" si="710">+CC124+CC73+CC23+CC175+CC226</f>
        <v>342</v>
      </c>
      <c r="CD277" s="259">
        <f t="shared" si="710"/>
        <v>480</v>
      </c>
      <c r="CE277" s="213">
        <f t="shared" si="710"/>
        <v>270</v>
      </c>
      <c r="CF277" s="214">
        <f t="shared" si="710"/>
        <v>455</v>
      </c>
      <c r="CG277" s="214">
        <f t="shared" ref="CG277:CI277" si="711">+CG124+CG73+CG23+CG175+CG226</f>
        <v>409</v>
      </c>
      <c r="CH277" s="259">
        <f t="shared" si="711"/>
        <v>480</v>
      </c>
      <c r="CI277" s="213">
        <f t="shared" si="711"/>
        <v>279</v>
      </c>
      <c r="CJ277" s="214">
        <f>+CJ124+CJ73+CJ23+CJ175+CJ226</f>
        <v>361</v>
      </c>
      <c r="CK277" s="214">
        <f t="shared" ref="CK277:CM277" si="712">+CK124+CK73+CK23+CK175+CK226</f>
        <v>367</v>
      </c>
      <c r="CL277" s="259">
        <f t="shared" si="712"/>
        <v>449</v>
      </c>
      <c r="CM277" s="213">
        <f t="shared" si="712"/>
        <v>168</v>
      </c>
      <c r="CN277" s="214">
        <f>+CN124+CN73+CN23+CN175+CN226</f>
        <v>248</v>
      </c>
      <c r="CO277" s="214">
        <f t="shared" ref="CO277:CQ277" si="713">+CO124+CO73+CO23+CO175+CO226</f>
        <v>220</v>
      </c>
      <c r="CP277" s="259">
        <f t="shared" si="713"/>
        <v>295</v>
      </c>
      <c r="CQ277" s="213">
        <f t="shared" si="713"/>
        <v>167</v>
      </c>
      <c r="CR277" s="214">
        <f t="shared" ref="CR277:CU277" si="714">+CR124+CR73+CR23+CR175+CR226</f>
        <v>313</v>
      </c>
      <c r="CS277" s="214">
        <f t="shared" si="714"/>
        <v>253</v>
      </c>
      <c r="CT277" s="259">
        <f t="shared" si="714"/>
        <v>346</v>
      </c>
      <c r="CU277" s="213">
        <f t="shared" si="714"/>
        <v>126</v>
      </c>
      <c r="CV277" s="214">
        <f t="shared" ref="CV277:CX277" si="715">+CV124+CV73+CV23+CV175+CV226</f>
        <v>253</v>
      </c>
      <c r="CW277" s="214">
        <f t="shared" si="715"/>
        <v>0</v>
      </c>
      <c r="CX277" s="259">
        <f t="shared" si="715"/>
        <v>0</v>
      </c>
    </row>
    <row r="278" spans="1:119" x14ac:dyDescent="0.25">
      <c r="A278" s="225"/>
      <c r="B278" s="227" t="s">
        <v>63</v>
      </c>
      <c r="C278" s="15">
        <f t="shared" ref="C278:AH278" si="716">+C125+C74+C24</f>
        <v>0</v>
      </c>
      <c r="D278" s="15">
        <f t="shared" si="716"/>
        <v>0</v>
      </c>
      <c r="E278" s="15">
        <f t="shared" si="716"/>
        <v>0</v>
      </c>
      <c r="F278" s="15">
        <f t="shared" si="716"/>
        <v>0</v>
      </c>
      <c r="G278" s="15">
        <f t="shared" si="716"/>
        <v>0</v>
      </c>
      <c r="H278" s="15">
        <f t="shared" si="716"/>
        <v>0</v>
      </c>
      <c r="I278" s="15">
        <f t="shared" si="716"/>
        <v>0</v>
      </c>
      <c r="J278" s="15">
        <f t="shared" si="716"/>
        <v>0</v>
      </c>
      <c r="K278" s="15">
        <f t="shared" si="716"/>
        <v>0</v>
      </c>
      <c r="L278" s="15">
        <f t="shared" si="716"/>
        <v>0</v>
      </c>
      <c r="M278" s="15">
        <f t="shared" si="716"/>
        <v>0</v>
      </c>
      <c r="N278" s="15">
        <f t="shared" si="716"/>
        <v>0</v>
      </c>
      <c r="O278" s="15">
        <f t="shared" si="716"/>
        <v>0</v>
      </c>
      <c r="P278" s="15">
        <f t="shared" si="716"/>
        <v>0</v>
      </c>
      <c r="Q278" s="15">
        <f t="shared" si="716"/>
        <v>0</v>
      </c>
      <c r="R278" s="15">
        <f t="shared" si="716"/>
        <v>0</v>
      </c>
      <c r="S278" s="15">
        <f t="shared" si="716"/>
        <v>0</v>
      </c>
      <c r="T278" s="15">
        <f t="shared" si="716"/>
        <v>0</v>
      </c>
      <c r="U278" s="15">
        <f t="shared" si="716"/>
        <v>0</v>
      </c>
      <c r="V278" s="15">
        <f t="shared" si="716"/>
        <v>0</v>
      </c>
      <c r="W278" s="15">
        <f t="shared" si="716"/>
        <v>0</v>
      </c>
      <c r="X278" s="15">
        <f t="shared" si="716"/>
        <v>0</v>
      </c>
      <c r="Y278" s="15">
        <f t="shared" si="716"/>
        <v>0</v>
      </c>
      <c r="Z278" s="15">
        <f t="shared" si="716"/>
        <v>0</v>
      </c>
      <c r="AA278" s="15">
        <f t="shared" si="716"/>
        <v>0</v>
      </c>
      <c r="AB278" s="15">
        <f t="shared" si="716"/>
        <v>0</v>
      </c>
      <c r="AC278" s="15">
        <f t="shared" si="716"/>
        <v>0</v>
      </c>
      <c r="AD278" s="15">
        <f t="shared" si="716"/>
        <v>0</v>
      </c>
      <c r="AE278" s="15">
        <f t="shared" si="716"/>
        <v>0</v>
      </c>
      <c r="AF278" s="15">
        <f t="shared" si="716"/>
        <v>0</v>
      </c>
      <c r="AG278" s="15">
        <f t="shared" si="716"/>
        <v>0</v>
      </c>
      <c r="AH278" s="15">
        <f t="shared" si="716"/>
        <v>0</v>
      </c>
      <c r="AI278" s="15">
        <f t="shared" ref="AI278:AY278" si="717">+AI125+AI74+AI24</f>
        <v>0</v>
      </c>
      <c r="AJ278" s="15">
        <f t="shared" si="717"/>
        <v>0</v>
      </c>
      <c r="AK278" s="15">
        <f t="shared" si="717"/>
        <v>0</v>
      </c>
      <c r="AL278" s="15">
        <f t="shared" si="717"/>
        <v>0</v>
      </c>
      <c r="AM278" s="15">
        <f t="shared" si="717"/>
        <v>0</v>
      </c>
      <c r="AN278" s="15">
        <f t="shared" si="717"/>
        <v>0</v>
      </c>
      <c r="AO278" s="15">
        <f t="shared" si="717"/>
        <v>0</v>
      </c>
      <c r="AP278" s="15">
        <f t="shared" si="717"/>
        <v>0</v>
      </c>
      <c r="AQ278" s="15">
        <f t="shared" si="717"/>
        <v>0</v>
      </c>
      <c r="AR278" s="15">
        <f t="shared" si="717"/>
        <v>0</v>
      </c>
      <c r="AS278" s="15">
        <f t="shared" si="717"/>
        <v>0</v>
      </c>
      <c r="AT278" s="15">
        <f t="shared" si="717"/>
        <v>0</v>
      </c>
      <c r="AU278" s="15">
        <f t="shared" si="717"/>
        <v>0</v>
      </c>
      <c r="AV278" s="15">
        <f t="shared" si="717"/>
        <v>0</v>
      </c>
      <c r="AW278" s="15">
        <f t="shared" si="717"/>
        <v>0</v>
      </c>
      <c r="AX278" s="15">
        <f t="shared" si="717"/>
        <v>0</v>
      </c>
      <c r="AY278" s="14">
        <f t="shared" si="717"/>
        <v>0</v>
      </c>
      <c r="AZ278" s="15">
        <f>+AZ125+AZ74+AZ24+AZ176</f>
        <v>0</v>
      </c>
      <c r="BA278" s="15">
        <v>25</v>
      </c>
      <c r="BB278" s="16">
        <f t="shared" ref="BB278:BP278" si="718">+BB125+BB74+BB24+BB176</f>
        <v>48.4</v>
      </c>
      <c r="BC278" s="29">
        <f t="shared" si="718"/>
        <v>0</v>
      </c>
      <c r="BD278" s="30">
        <f t="shared" si="718"/>
        <v>9.6999999999999993</v>
      </c>
      <c r="BE278" s="30">
        <f t="shared" si="718"/>
        <v>26.3</v>
      </c>
      <c r="BF278" s="31">
        <f t="shared" si="718"/>
        <v>63.300000000000004</v>
      </c>
      <c r="BG278" s="29">
        <f t="shared" si="718"/>
        <v>24.900000000000002</v>
      </c>
      <c r="BH278" s="30">
        <f t="shared" si="718"/>
        <v>32.1</v>
      </c>
      <c r="BI278" s="30">
        <f t="shared" si="718"/>
        <v>79.300000000000011</v>
      </c>
      <c r="BJ278" s="30">
        <f t="shared" si="718"/>
        <v>89.3</v>
      </c>
      <c r="BK278" s="210">
        <f t="shared" si="718"/>
        <v>60.3</v>
      </c>
      <c r="BL278" s="221">
        <f t="shared" si="718"/>
        <v>43.099999999999994</v>
      </c>
      <c r="BM278" s="221">
        <f t="shared" si="718"/>
        <v>38.700000000000003</v>
      </c>
      <c r="BN278" s="222">
        <f t="shared" si="718"/>
        <v>61.599999999999994</v>
      </c>
      <c r="BO278" s="210">
        <f t="shared" si="718"/>
        <v>33.300000000000004</v>
      </c>
      <c r="BP278" s="221">
        <f t="shared" si="718"/>
        <v>40.1</v>
      </c>
      <c r="BQ278" s="221">
        <f t="shared" si="694"/>
        <v>144.30000000000001</v>
      </c>
      <c r="BR278" s="221">
        <f t="shared" si="694"/>
        <v>229.5</v>
      </c>
      <c r="BS278" s="210">
        <f t="shared" si="694"/>
        <v>12.5</v>
      </c>
      <c r="BT278" s="221">
        <f t="shared" si="694"/>
        <v>45.3</v>
      </c>
      <c r="BU278" s="221">
        <f t="shared" si="694"/>
        <v>49.039999999999992</v>
      </c>
      <c r="BV278" s="222">
        <f t="shared" si="694"/>
        <v>43.2</v>
      </c>
      <c r="BW278" s="214">
        <f t="shared" ref="BW278:BX278" si="719">+BW125+BW74+BW24+BW176+BW227</f>
        <v>34</v>
      </c>
      <c r="BX278" s="214">
        <f t="shared" si="719"/>
        <v>22</v>
      </c>
      <c r="BY278" s="214">
        <f t="shared" ref="BY278:BZ278" si="720">+BY125+BY74+BY24+BY176+BY227</f>
        <v>61</v>
      </c>
      <c r="BZ278" s="214">
        <f t="shared" si="720"/>
        <v>84</v>
      </c>
      <c r="CA278" s="213">
        <f t="shared" ref="CA278:CB278" si="721">+CA125+CA74+CA24+CA176+CA227</f>
        <v>51</v>
      </c>
      <c r="CB278" s="214">
        <f t="shared" si="721"/>
        <v>49</v>
      </c>
      <c r="CC278" s="214">
        <f t="shared" ref="CC278:CF278" si="722">+CC125+CC74+CC24+CC176+CC227</f>
        <v>59</v>
      </c>
      <c r="CD278" s="259">
        <f t="shared" si="722"/>
        <v>93</v>
      </c>
      <c r="CE278" s="213">
        <f t="shared" si="722"/>
        <v>62</v>
      </c>
      <c r="CF278" s="214">
        <f t="shared" si="722"/>
        <v>3</v>
      </c>
      <c r="CG278" s="214">
        <f t="shared" ref="CG278:CJ278" si="723">+CG125+CG74+CG24+CG176+CG227</f>
        <v>158</v>
      </c>
      <c r="CH278" s="259">
        <f t="shared" si="723"/>
        <v>115</v>
      </c>
      <c r="CI278" s="213">
        <f t="shared" si="723"/>
        <v>191</v>
      </c>
      <c r="CJ278" s="214">
        <f t="shared" si="723"/>
        <v>303</v>
      </c>
      <c r="CK278" s="214">
        <f t="shared" ref="CK278:CN278" si="724">+CK125+CK74+CK24+CK176+CK227</f>
        <v>194</v>
      </c>
      <c r="CL278" s="259">
        <f t="shared" si="724"/>
        <v>310</v>
      </c>
      <c r="CM278" s="213">
        <f t="shared" si="724"/>
        <v>322</v>
      </c>
      <c r="CN278" s="214">
        <f t="shared" si="724"/>
        <v>2013</v>
      </c>
      <c r="CO278" s="214">
        <f t="shared" ref="CO278:CQ278" si="725">+CO125+CO74+CO24+CO176+CO227</f>
        <v>276</v>
      </c>
      <c r="CP278" s="259">
        <f t="shared" si="725"/>
        <v>521</v>
      </c>
      <c r="CQ278" s="213">
        <f t="shared" si="725"/>
        <v>387</v>
      </c>
      <c r="CR278" s="214">
        <f t="shared" ref="CR278:CU278" si="726">+CR125+CR74+CR24+CR176+CR227</f>
        <v>716</v>
      </c>
      <c r="CS278" s="214">
        <f t="shared" si="726"/>
        <v>782</v>
      </c>
      <c r="CT278" s="259">
        <f t="shared" si="726"/>
        <v>788</v>
      </c>
      <c r="CU278" s="213">
        <f t="shared" si="726"/>
        <v>728</v>
      </c>
      <c r="CV278" s="214">
        <f t="shared" ref="CV278:CX278" si="727">+CV125+CV74+CV24+CV176+CV227</f>
        <v>1125</v>
      </c>
      <c r="CW278" s="214">
        <f t="shared" si="727"/>
        <v>0</v>
      </c>
      <c r="CX278" s="259">
        <f t="shared" si="727"/>
        <v>0</v>
      </c>
    </row>
    <row r="279" spans="1:119" s="1" customFormat="1" x14ac:dyDescent="0.25">
      <c r="A279" s="306"/>
      <c r="B279" s="290" t="s">
        <v>64</v>
      </c>
      <c r="C279" s="75">
        <f t="shared" ref="C279:T279" si="728">+C126+C75+C25</f>
        <v>202.29999999999998</v>
      </c>
      <c r="D279" s="75">
        <f t="shared" si="728"/>
        <v>301.7</v>
      </c>
      <c r="E279" s="75">
        <f t="shared" si="728"/>
        <v>299</v>
      </c>
      <c r="F279" s="75">
        <f t="shared" si="728"/>
        <v>342.8</v>
      </c>
      <c r="G279" s="75">
        <f t="shared" si="728"/>
        <v>301.2</v>
      </c>
      <c r="H279" s="75">
        <f t="shared" si="728"/>
        <v>423.1</v>
      </c>
      <c r="I279" s="75">
        <f t="shared" si="728"/>
        <v>288.60000000000002</v>
      </c>
      <c r="J279" s="75">
        <f t="shared" si="728"/>
        <v>251.89999999999998</v>
      </c>
      <c r="K279" s="75">
        <f t="shared" si="728"/>
        <v>152.69999999999999</v>
      </c>
      <c r="L279" s="75">
        <f t="shared" si="728"/>
        <v>184.60000000000002</v>
      </c>
      <c r="M279" s="75">
        <f t="shared" si="728"/>
        <v>147.79999999999998</v>
      </c>
      <c r="N279" s="75">
        <f t="shared" si="728"/>
        <v>163.10000000000002</v>
      </c>
      <c r="O279" s="75">
        <f t="shared" si="728"/>
        <v>150.19999999999999</v>
      </c>
      <c r="P279" s="75">
        <f t="shared" si="728"/>
        <v>174.5</v>
      </c>
      <c r="Q279" s="75">
        <f t="shared" si="728"/>
        <v>133.4</v>
      </c>
      <c r="R279" s="75">
        <f t="shared" si="728"/>
        <v>168.7</v>
      </c>
      <c r="S279" s="75">
        <f t="shared" si="728"/>
        <v>164.3</v>
      </c>
      <c r="T279" s="75">
        <f t="shared" si="728"/>
        <v>227.7</v>
      </c>
      <c r="U279" s="75">
        <f t="shared" ref="U279:BH279" si="729">+U278+U277+U276</f>
        <v>432.7</v>
      </c>
      <c r="V279" s="75">
        <f t="shared" si="729"/>
        <v>524.20000000000005</v>
      </c>
      <c r="W279" s="75">
        <f t="shared" si="729"/>
        <v>512.4</v>
      </c>
      <c r="X279" s="75">
        <f t="shared" si="729"/>
        <v>714.3</v>
      </c>
      <c r="Y279" s="75">
        <f t="shared" si="729"/>
        <v>570.6</v>
      </c>
      <c r="Z279" s="75">
        <f t="shared" si="729"/>
        <v>634.79999999999995</v>
      </c>
      <c r="AA279" s="75">
        <f t="shared" si="729"/>
        <v>588.70000000000005</v>
      </c>
      <c r="AB279" s="75">
        <f t="shared" si="729"/>
        <v>696.59999999999991</v>
      </c>
      <c r="AC279" s="75">
        <f t="shared" si="729"/>
        <v>599.4</v>
      </c>
      <c r="AD279" s="75">
        <f t="shared" si="729"/>
        <v>651.09999999999991</v>
      </c>
      <c r="AE279" s="75">
        <f t="shared" si="729"/>
        <v>624.40000000000009</v>
      </c>
      <c r="AF279" s="75">
        <f t="shared" si="729"/>
        <v>747.5</v>
      </c>
      <c r="AG279" s="75">
        <f t="shared" si="729"/>
        <v>666.1</v>
      </c>
      <c r="AH279" s="75">
        <f t="shared" si="729"/>
        <v>710.3</v>
      </c>
      <c r="AI279" s="75">
        <f t="shared" si="729"/>
        <v>681.2</v>
      </c>
      <c r="AJ279" s="75">
        <f t="shared" si="729"/>
        <v>837</v>
      </c>
      <c r="AK279" s="75">
        <f t="shared" si="729"/>
        <v>824.4</v>
      </c>
      <c r="AL279" s="75">
        <f t="shared" si="729"/>
        <v>746</v>
      </c>
      <c r="AM279" s="75">
        <f t="shared" si="729"/>
        <v>583.70000000000005</v>
      </c>
      <c r="AN279" s="75">
        <f t="shared" si="729"/>
        <v>697.2</v>
      </c>
      <c r="AO279" s="75">
        <f t="shared" si="729"/>
        <v>773.89999999999986</v>
      </c>
      <c r="AP279" s="75">
        <f t="shared" si="729"/>
        <v>856.6</v>
      </c>
      <c r="AQ279" s="75">
        <f t="shared" si="729"/>
        <v>662.30000000000007</v>
      </c>
      <c r="AR279" s="75">
        <f t="shared" si="729"/>
        <v>820.7</v>
      </c>
      <c r="AS279" s="75">
        <f t="shared" si="729"/>
        <v>846.5</v>
      </c>
      <c r="AT279" s="75">
        <f t="shared" si="729"/>
        <v>754.90000000000009</v>
      </c>
      <c r="AU279" s="75">
        <f t="shared" si="729"/>
        <v>682.4</v>
      </c>
      <c r="AV279" s="75">
        <f t="shared" si="729"/>
        <v>738.9</v>
      </c>
      <c r="AW279" s="75">
        <f t="shared" si="729"/>
        <v>700.2</v>
      </c>
      <c r="AX279" s="75">
        <f t="shared" si="729"/>
        <v>742.1</v>
      </c>
      <c r="AY279" s="74">
        <f t="shared" si="729"/>
        <v>615.6</v>
      </c>
      <c r="AZ279" s="75">
        <f t="shared" si="729"/>
        <v>723.9</v>
      </c>
      <c r="BA279" s="75">
        <f t="shared" si="729"/>
        <v>822</v>
      </c>
      <c r="BB279" s="76">
        <f t="shared" si="729"/>
        <v>1013</v>
      </c>
      <c r="BC279" s="77">
        <f t="shared" si="729"/>
        <v>660.6</v>
      </c>
      <c r="BD279" s="78">
        <f t="shared" si="729"/>
        <v>764.09999999999991</v>
      </c>
      <c r="BE279" s="78">
        <f t="shared" si="729"/>
        <v>789.6</v>
      </c>
      <c r="BF279" s="79">
        <f t="shared" si="729"/>
        <v>843.7</v>
      </c>
      <c r="BG279" s="77">
        <f t="shared" si="729"/>
        <v>648.10000000000014</v>
      </c>
      <c r="BH279" s="78">
        <f t="shared" si="729"/>
        <v>762.3</v>
      </c>
      <c r="BI279" s="78">
        <f t="shared" ref="BI279:BP279" si="730">+BI278+BI277+BI276</f>
        <v>884.5</v>
      </c>
      <c r="BJ279" s="78">
        <f t="shared" si="730"/>
        <v>938.49999999999989</v>
      </c>
      <c r="BK279" s="115">
        <f t="shared" si="730"/>
        <v>712</v>
      </c>
      <c r="BL279" s="116">
        <f t="shared" si="730"/>
        <v>716.3</v>
      </c>
      <c r="BM279" s="116">
        <f t="shared" si="730"/>
        <v>774.89999999999986</v>
      </c>
      <c r="BN279" s="117">
        <f t="shared" si="730"/>
        <v>805.3</v>
      </c>
      <c r="BO279" s="115">
        <f t="shared" si="730"/>
        <v>609.4</v>
      </c>
      <c r="BP279" s="116">
        <f t="shared" si="730"/>
        <v>677.9</v>
      </c>
      <c r="BQ279" s="116">
        <f>+BQ278+BQ277+BQ276+0.1</f>
        <v>879</v>
      </c>
      <c r="BR279" s="116">
        <f t="shared" ref="BR279:BW279" si="731">+BR278+BR277+BR276</f>
        <v>880.1</v>
      </c>
      <c r="BS279" s="115">
        <f t="shared" si="731"/>
        <v>75.8</v>
      </c>
      <c r="BT279" s="116">
        <f t="shared" si="731"/>
        <v>333.2</v>
      </c>
      <c r="BU279" s="116">
        <f t="shared" si="731"/>
        <v>752.4799999999999</v>
      </c>
      <c r="BV279" s="117">
        <f t="shared" si="731"/>
        <v>839.69999999999993</v>
      </c>
      <c r="BW279" s="110">
        <f t="shared" si="731"/>
        <v>778</v>
      </c>
      <c r="BX279" s="110">
        <f t="shared" ref="BX279:BY279" si="732">+BX278+BX277+BX276</f>
        <v>322</v>
      </c>
      <c r="BY279" s="110">
        <f t="shared" si="732"/>
        <v>849</v>
      </c>
      <c r="BZ279" s="110">
        <f t="shared" ref="BZ279:CB279" si="733">+BZ278+BZ277+BZ276</f>
        <v>1005</v>
      </c>
      <c r="CA279" s="109">
        <f t="shared" si="733"/>
        <v>842</v>
      </c>
      <c r="CB279" s="110">
        <f t="shared" si="733"/>
        <v>994</v>
      </c>
      <c r="CC279" s="110">
        <f t="shared" ref="CC279:CF279" si="734">+CC278+CC277+CC276</f>
        <v>1130</v>
      </c>
      <c r="CD279" s="111">
        <f t="shared" si="734"/>
        <v>1195</v>
      </c>
      <c r="CE279" s="109">
        <f t="shared" si="734"/>
        <v>800</v>
      </c>
      <c r="CF279" s="110">
        <f t="shared" si="734"/>
        <v>458</v>
      </c>
      <c r="CG279" s="110">
        <f t="shared" ref="CG279:CJ279" si="735">+CG278+CG277+CG276</f>
        <v>1039</v>
      </c>
      <c r="CH279" s="111">
        <f t="shared" si="735"/>
        <v>1286</v>
      </c>
      <c r="CI279" s="109">
        <f t="shared" si="735"/>
        <v>1123</v>
      </c>
      <c r="CJ279" s="110">
        <f t="shared" si="735"/>
        <v>1409</v>
      </c>
      <c r="CK279" s="110">
        <f t="shared" ref="CK279:CN279" si="736">+CK278+CK277+CK276</f>
        <v>1238</v>
      </c>
      <c r="CL279" s="111">
        <f t="shared" si="736"/>
        <v>1381</v>
      </c>
      <c r="CM279" s="109">
        <f t="shared" si="736"/>
        <v>1155</v>
      </c>
      <c r="CN279" s="110">
        <f t="shared" si="736"/>
        <v>3000</v>
      </c>
      <c r="CO279" s="110">
        <f t="shared" ref="CO279:CQ279" si="737">+CO278+CO277+CO276</f>
        <v>1243</v>
      </c>
      <c r="CP279" s="111">
        <f t="shared" si="737"/>
        <v>1502</v>
      </c>
      <c r="CQ279" s="109">
        <f t="shared" si="737"/>
        <v>1218</v>
      </c>
      <c r="CR279" s="110">
        <f t="shared" ref="CR279:CU279" si="738">+CR278+CR277+CR276</f>
        <v>1725</v>
      </c>
      <c r="CS279" s="110">
        <f t="shared" si="738"/>
        <v>1856</v>
      </c>
      <c r="CT279" s="111">
        <f t="shared" si="738"/>
        <v>1886</v>
      </c>
      <c r="CU279" s="109">
        <f t="shared" si="738"/>
        <v>1405</v>
      </c>
      <c r="CV279" s="110">
        <f t="shared" ref="CV279:CX279" si="739">+CV278+CV277+CV276</f>
        <v>1959</v>
      </c>
      <c r="CW279" s="110">
        <f t="shared" si="739"/>
        <v>0</v>
      </c>
      <c r="CX279" s="111">
        <f t="shared" si="739"/>
        <v>0</v>
      </c>
      <c r="CY279" s="347"/>
      <c r="CZ279" s="347"/>
      <c r="DA279" s="347"/>
      <c r="DB279" s="347"/>
      <c r="DC279" s="347"/>
      <c r="DD279" s="347"/>
      <c r="DE279" s="347"/>
      <c r="DF279" s="347"/>
      <c r="DG279" s="347"/>
      <c r="DH279" s="347"/>
      <c r="DI279" s="347"/>
      <c r="DJ279" s="347"/>
      <c r="DK279" s="347"/>
      <c r="DL279" s="347"/>
      <c r="DM279" s="347"/>
      <c r="DN279" s="347"/>
      <c r="DO279" s="347"/>
    </row>
    <row r="280" spans="1:119" ht="15" customHeight="1" x14ac:dyDescent="0.25">
      <c r="A280" s="198"/>
      <c r="B280" s="205" t="s">
        <v>140</v>
      </c>
      <c r="C280" s="204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4"/>
      <c r="Q280" s="204"/>
      <c r="R280" s="204"/>
      <c r="S280" s="204"/>
      <c r="T280" s="204"/>
      <c r="U280" s="204"/>
      <c r="V280" s="204"/>
      <c r="W280" s="204"/>
      <c r="X280" s="204"/>
      <c r="Y280" s="204"/>
      <c r="Z280" s="204"/>
      <c r="AA280" s="204"/>
      <c r="AB280" s="204"/>
      <c r="AC280" s="204"/>
      <c r="AD280" s="204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/>
      <c r="BN280" s="204"/>
      <c r="BO280" s="204"/>
      <c r="BP280" s="204"/>
      <c r="BQ280" s="204"/>
      <c r="BR280" s="204"/>
      <c r="BS280" s="209"/>
      <c r="BT280" s="204"/>
      <c r="BU280" s="204"/>
      <c r="BV280" s="260"/>
      <c r="BW280" s="423"/>
      <c r="BX280" s="423"/>
      <c r="BY280" s="423"/>
      <c r="BZ280" s="423"/>
      <c r="CA280" s="424"/>
      <c r="CB280" s="423"/>
      <c r="CC280" s="423"/>
      <c r="CD280" s="466"/>
      <c r="CE280" s="424"/>
      <c r="CF280" s="423"/>
      <c r="CG280" s="423"/>
      <c r="CH280" s="466"/>
      <c r="CI280" s="424"/>
      <c r="CJ280" s="423"/>
      <c r="CK280" s="423"/>
      <c r="CL280" s="466"/>
      <c r="CM280" s="424"/>
      <c r="CN280" s="423"/>
      <c r="CO280" s="423"/>
      <c r="CP280" s="466"/>
      <c r="CQ280" s="424"/>
      <c r="CR280" s="423"/>
      <c r="CS280" s="423"/>
      <c r="CT280" s="466"/>
      <c r="CU280" s="424"/>
      <c r="CV280" s="423"/>
      <c r="CW280" s="423"/>
      <c r="CX280" s="466"/>
    </row>
    <row r="281" spans="1:119" x14ac:dyDescent="0.25">
      <c r="A281" s="225"/>
      <c r="B281" s="292" t="s">
        <v>135</v>
      </c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4"/>
      <c r="AZ281" s="15"/>
      <c r="BA281" s="15"/>
      <c r="BB281" s="16"/>
      <c r="BC281" s="29"/>
      <c r="BD281" s="30"/>
      <c r="BE281" s="30"/>
      <c r="BF281" s="31"/>
      <c r="BG281" s="29"/>
      <c r="BH281" s="30"/>
      <c r="BI281" s="15"/>
      <c r="BJ281" s="15"/>
      <c r="BK281" s="314"/>
      <c r="BL281" s="208"/>
      <c r="BM281" s="208"/>
      <c r="BN281" s="227"/>
      <c r="BO281" s="314"/>
      <c r="BP281" s="208"/>
      <c r="BQ281" s="208"/>
      <c r="BR281" s="208"/>
      <c r="BS281" s="225"/>
      <c r="BT281" s="208"/>
      <c r="BU281" s="208"/>
      <c r="BV281" s="227"/>
      <c r="BW281" s="208"/>
      <c r="BX281" s="208"/>
      <c r="BY281" s="208"/>
      <c r="BZ281" s="208"/>
      <c r="CA281" s="225"/>
      <c r="CB281" s="208"/>
      <c r="CC281" s="208"/>
      <c r="CD281" s="227"/>
      <c r="CE281" s="225"/>
      <c r="CF281" s="208"/>
      <c r="CG281" s="208"/>
      <c r="CH281" s="227"/>
      <c r="CI281" s="225"/>
      <c r="CJ281" s="208"/>
      <c r="CK281" s="208"/>
      <c r="CL281" s="227"/>
      <c r="CM281" s="225"/>
      <c r="CN281" s="208"/>
      <c r="CO281" s="208"/>
      <c r="CP281" s="227"/>
      <c r="CQ281" s="225"/>
      <c r="CR281" s="208"/>
      <c r="CS281" s="208"/>
      <c r="CT281" s="227"/>
      <c r="CU281" s="225"/>
      <c r="CV281" s="208"/>
      <c r="CW281" s="208"/>
      <c r="CX281" s="227"/>
    </row>
    <row r="282" spans="1:119" x14ac:dyDescent="0.25">
      <c r="A282" s="225"/>
      <c r="B282" s="250" t="s">
        <v>99</v>
      </c>
      <c r="C282" s="8">
        <f t="shared" ref="C282:AH282" si="740">+C129+C78+C28+C180</f>
        <v>2473.1999999999998</v>
      </c>
      <c r="D282" s="8">
        <f t="shared" si="740"/>
        <v>2458.6</v>
      </c>
      <c r="E282" s="8">
        <f t="shared" si="740"/>
        <v>2606.6</v>
      </c>
      <c r="F282" s="8">
        <f t="shared" si="740"/>
        <v>2443.3999999999996</v>
      </c>
      <c r="G282" s="8">
        <f t="shared" si="740"/>
        <v>2250.3000000000002</v>
      </c>
      <c r="H282" s="8">
        <f t="shared" si="740"/>
        <v>1931.1999999999998</v>
      </c>
      <c r="I282" s="8">
        <f t="shared" si="740"/>
        <v>1901.6</v>
      </c>
      <c r="J282" s="8">
        <f t="shared" si="740"/>
        <v>1836.7</v>
      </c>
      <c r="K282" s="8">
        <f t="shared" si="740"/>
        <v>1917.3000000000002</v>
      </c>
      <c r="L282" s="8">
        <f t="shared" si="740"/>
        <v>1815.4</v>
      </c>
      <c r="M282" s="8">
        <f t="shared" si="740"/>
        <v>1784</v>
      </c>
      <c r="N282" s="8">
        <f t="shared" si="740"/>
        <v>1911.3000000000002</v>
      </c>
      <c r="O282" s="8">
        <f t="shared" si="740"/>
        <v>1814.9</v>
      </c>
      <c r="P282" s="8">
        <f t="shared" si="740"/>
        <v>1883.6</v>
      </c>
      <c r="Q282" s="8">
        <f t="shared" si="740"/>
        <v>1841.6</v>
      </c>
      <c r="R282" s="8">
        <f t="shared" si="740"/>
        <v>2192.8999999999996</v>
      </c>
      <c r="S282" s="8">
        <f t="shared" si="740"/>
        <v>2187.8000000000002</v>
      </c>
      <c r="T282" s="8">
        <f t="shared" si="740"/>
        <v>2687</v>
      </c>
      <c r="U282" s="8">
        <f t="shared" si="740"/>
        <v>2870</v>
      </c>
      <c r="V282" s="8">
        <f t="shared" si="740"/>
        <v>2813.1</v>
      </c>
      <c r="W282" s="8">
        <f t="shared" si="740"/>
        <v>2783.5</v>
      </c>
      <c r="X282" s="8">
        <f t="shared" si="740"/>
        <v>2910.2</v>
      </c>
      <c r="Y282" s="8">
        <f t="shared" si="740"/>
        <v>2961.9</v>
      </c>
      <c r="Z282" s="8">
        <f t="shared" si="740"/>
        <v>3113.4</v>
      </c>
      <c r="AA282" s="8">
        <f t="shared" si="740"/>
        <v>3236.1</v>
      </c>
      <c r="AB282" s="8">
        <f t="shared" si="740"/>
        <v>3610.5</v>
      </c>
      <c r="AC282" s="8">
        <f t="shared" si="740"/>
        <v>3132.4</v>
      </c>
      <c r="AD282" s="8">
        <f t="shared" si="740"/>
        <v>3589.1</v>
      </c>
      <c r="AE282" s="8">
        <f t="shared" si="740"/>
        <v>4224.3999999999996</v>
      </c>
      <c r="AF282" s="8">
        <f t="shared" si="740"/>
        <v>3721.5</v>
      </c>
      <c r="AG282" s="8">
        <f t="shared" si="740"/>
        <v>3452.2</v>
      </c>
      <c r="AH282" s="8">
        <f t="shared" si="740"/>
        <v>3693.4</v>
      </c>
      <c r="AI282" s="8">
        <f t="shared" ref="AI282:BG282" si="741">+AI129+AI78+AI28+AI180</f>
        <v>2800.9</v>
      </c>
      <c r="AJ282" s="8">
        <f t="shared" si="741"/>
        <v>3763.9</v>
      </c>
      <c r="AK282" s="8">
        <f t="shared" si="741"/>
        <v>3817.8</v>
      </c>
      <c r="AL282" s="8">
        <f t="shared" si="741"/>
        <v>3846.3999999999996</v>
      </c>
      <c r="AM282" s="8">
        <f t="shared" si="741"/>
        <v>3270.3</v>
      </c>
      <c r="AN282" s="8">
        <f t="shared" si="741"/>
        <v>3787.7</v>
      </c>
      <c r="AO282" s="8">
        <f t="shared" si="741"/>
        <v>4440</v>
      </c>
      <c r="AP282" s="8">
        <f t="shared" si="741"/>
        <v>5115.1000000000004</v>
      </c>
      <c r="AQ282" s="8">
        <f t="shared" si="741"/>
        <v>4280.6000000000004</v>
      </c>
      <c r="AR282" s="8">
        <f t="shared" si="741"/>
        <v>4711.3</v>
      </c>
      <c r="AS282" s="15">
        <f t="shared" si="741"/>
        <v>4285.8</v>
      </c>
      <c r="AT282" s="15">
        <f t="shared" si="741"/>
        <v>3275.8</v>
      </c>
      <c r="AU282" s="15">
        <f t="shared" si="741"/>
        <v>4378.1000000000004</v>
      </c>
      <c r="AV282" s="15">
        <f t="shared" si="741"/>
        <v>4837.3</v>
      </c>
      <c r="AW282" s="15">
        <f t="shared" si="741"/>
        <v>5126.9000000000005</v>
      </c>
      <c r="AX282" s="15">
        <f t="shared" si="741"/>
        <v>4988.8999999999996</v>
      </c>
      <c r="AY282" s="14">
        <f t="shared" si="741"/>
        <v>4689.3999999999996</v>
      </c>
      <c r="AZ282" s="15">
        <f t="shared" si="741"/>
        <v>5139.1000000000004</v>
      </c>
      <c r="BA282" s="15">
        <f t="shared" si="741"/>
        <v>5842.0999999999995</v>
      </c>
      <c r="BB282" s="16">
        <f t="shared" si="741"/>
        <v>6109.9</v>
      </c>
      <c r="BC282" s="29">
        <f t="shared" si="741"/>
        <v>4507.4000000000005</v>
      </c>
      <c r="BD282" s="30">
        <f t="shared" si="741"/>
        <v>5738.0999999999995</v>
      </c>
      <c r="BE282" s="30">
        <f t="shared" si="741"/>
        <v>6007.2000000000007</v>
      </c>
      <c r="BF282" s="31">
        <f t="shared" si="741"/>
        <v>6464.7000000000007</v>
      </c>
      <c r="BG282" s="29">
        <f t="shared" si="741"/>
        <v>6735.6</v>
      </c>
      <c r="BH282" s="30">
        <f>+BH129+BH78+BH28+BH180+2.2</f>
        <v>7281.4</v>
      </c>
      <c r="BI282" s="30">
        <f>+BI129+BI78+BI28+BI180-11.4</f>
        <v>7110.9000000000005</v>
      </c>
      <c r="BJ282" s="30">
        <f>+BJ129+BJ78+BJ28+BJ180-27.6</f>
        <v>6373.4</v>
      </c>
      <c r="BK282" s="210">
        <f>+BK129+BK78+BK28+BK180</f>
        <v>5363.8</v>
      </c>
      <c r="BL282" s="221">
        <f>+BL129+BL78+BL28+BL180+0.1</f>
        <v>5911.8000000000011</v>
      </c>
      <c r="BM282" s="221">
        <f>+BM129+BM78+BM28+BM180</f>
        <v>6278.9000000000005</v>
      </c>
      <c r="BN282" s="222">
        <f>+BN129+BN78+BN28+BN180-0.8</f>
        <v>5918.9999999999991</v>
      </c>
      <c r="BO282" s="210">
        <f>+BO129+BO78+BO28+BO180-36</f>
        <v>4604</v>
      </c>
      <c r="BP282" s="221">
        <f>+BP129+BP78+BP28+BP180-20.3</f>
        <v>5076</v>
      </c>
      <c r="BQ282" s="221">
        <f t="shared" ref="BQ282:BV283" si="742">+BQ129+BQ78+BQ28+BQ180+BQ231</f>
        <v>5243.5999999999995</v>
      </c>
      <c r="BR282" s="221">
        <f t="shared" si="742"/>
        <v>4753.5999999999995</v>
      </c>
      <c r="BS282" s="210">
        <f t="shared" si="742"/>
        <v>2527.1999999999998</v>
      </c>
      <c r="BT282" s="221">
        <f t="shared" si="742"/>
        <v>3413.2999999999997</v>
      </c>
      <c r="BU282" s="221">
        <f t="shared" si="742"/>
        <v>5676.9</v>
      </c>
      <c r="BV282" s="222">
        <f t="shared" si="742"/>
        <v>6742.2</v>
      </c>
      <c r="BW282" s="214">
        <f t="shared" ref="BW282:BX282" si="743">+BW129+BW78+BW28+BW180+BW231</f>
        <v>5883</v>
      </c>
      <c r="BX282" s="214">
        <f t="shared" si="743"/>
        <v>4382</v>
      </c>
      <c r="BY282" s="214">
        <f t="shared" ref="BY282:BZ282" si="744">+BY129+BY78+BY28+BY180+BY231</f>
        <v>8751</v>
      </c>
      <c r="BZ282" s="214">
        <f t="shared" si="744"/>
        <v>8330</v>
      </c>
      <c r="CA282" s="213">
        <f t="shared" ref="CA282:CB282" si="745">+CA129+CA78+CA28+CA180+CA231</f>
        <v>6460</v>
      </c>
      <c r="CB282" s="214">
        <f t="shared" si="745"/>
        <v>6847</v>
      </c>
      <c r="CC282" s="214">
        <f t="shared" ref="CC282:CF282" si="746">+CC129+CC78+CC28+CC180+CC231</f>
        <v>7598</v>
      </c>
      <c r="CD282" s="259">
        <f t="shared" si="746"/>
        <v>7454</v>
      </c>
      <c r="CE282" s="213">
        <f t="shared" si="746"/>
        <v>4349</v>
      </c>
      <c r="CF282" s="214">
        <f t="shared" si="746"/>
        <v>1632</v>
      </c>
      <c r="CG282" s="214">
        <f t="shared" ref="CG282:CJ282" si="747">+CG129+CG78+CG28+CG180+CG231</f>
        <v>5732</v>
      </c>
      <c r="CH282" s="259">
        <f t="shared" si="747"/>
        <v>6129</v>
      </c>
      <c r="CI282" s="213">
        <f t="shared" si="747"/>
        <v>7200</v>
      </c>
      <c r="CJ282" s="214">
        <f t="shared" si="747"/>
        <v>8059</v>
      </c>
      <c r="CK282" s="214">
        <f t="shared" ref="CK282:CN282" si="748">+CK129+CK78+CK28+CK180+CK231</f>
        <v>7126</v>
      </c>
      <c r="CL282" s="259">
        <f t="shared" si="748"/>
        <v>6757</v>
      </c>
      <c r="CM282" s="213">
        <f t="shared" si="748"/>
        <v>6703</v>
      </c>
      <c r="CN282" s="214">
        <f t="shared" si="748"/>
        <v>8164</v>
      </c>
      <c r="CO282" s="214">
        <f t="shared" ref="CO282:CQ282" si="749">+CO129+CO78+CO28+CO180+CO231</f>
        <v>7612</v>
      </c>
      <c r="CP282" s="259">
        <f t="shared" si="749"/>
        <v>8232</v>
      </c>
      <c r="CQ282" s="213">
        <f t="shared" si="749"/>
        <v>7298</v>
      </c>
      <c r="CR282" s="214">
        <f t="shared" ref="CR282:CU282" si="750">+CR129+CR78+CR28+CR180+CR231</f>
        <v>8896</v>
      </c>
      <c r="CS282" s="214">
        <f t="shared" si="750"/>
        <v>9966</v>
      </c>
      <c r="CT282" s="259">
        <f t="shared" si="750"/>
        <v>9011</v>
      </c>
      <c r="CU282" s="213">
        <f t="shared" si="750"/>
        <v>11643</v>
      </c>
      <c r="CV282" s="214">
        <f t="shared" ref="CV282:CX282" si="751">+CV129+CV78+CV28+CV180+CV231</f>
        <v>11612</v>
      </c>
      <c r="CW282" s="214">
        <f t="shared" si="751"/>
        <v>0</v>
      </c>
      <c r="CX282" s="259">
        <f t="shared" si="751"/>
        <v>0</v>
      </c>
    </row>
    <row r="283" spans="1:119" x14ac:dyDescent="0.25">
      <c r="A283" s="225"/>
      <c r="B283" s="250" t="s">
        <v>132</v>
      </c>
      <c r="C283" s="7">
        <f t="shared" ref="C283:AH283" si="752">+C130+C79+C29+C181</f>
        <v>-1357.5</v>
      </c>
      <c r="D283" s="7">
        <f t="shared" si="752"/>
        <v>-1347.1000000000001</v>
      </c>
      <c r="E283" s="7">
        <f t="shared" si="752"/>
        <v>-1560.1</v>
      </c>
      <c r="F283" s="7">
        <f t="shared" si="752"/>
        <v>-1549.6</v>
      </c>
      <c r="G283" s="7">
        <f t="shared" si="752"/>
        <v>-1554.4</v>
      </c>
      <c r="H283" s="7">
        <f t="shared" si="752"/>
        <v>-1570.4</v>
      </c>
      <c r="I283" s="7">
        <f t="shared" si="752"/>
        <v>-1685.8000000000002</v>
      </c>
      <c r="J283" s="7">
        <f t="shared" si="752"/>
        <v>-1700.2</v>
      </c>
      <c r="K283" s="7">
        <f t="shared" si="752"/>
        <v>-1643.8000000000002</v>
      </c>
      <c r="L283" s="7">
        <f t="shared" si="752"/>
        <v>-1652.8</v>
      </c>
      <c r="M283" s="7">
        <f t="shared" si="752"/>
        <v>-1663.6999999999998</v>
      </c>
      <c r="N283" s="7">
        <f t="shared" si="752"/>
        <v>-1687.4</v>
      </c>
      <c r="O283" s="7">
        <f t="shared" si="752"/>
        <v>-1649.1</v>
      </c>
      <c r="P283" s="7">
        <f t="shared" si="752"/>
        <v>-1660.1</v>
      </c>
      <c r="Q283" s="7">
        <f t="shared" si="752"/>
        <v>-1671.6</v>
      </c>
      <c r="R283" s="7">
        <f t="shared" si="752"/>
        <v>-1732.1</v>
      </c>
      <c r="S283" s="7">
        <f t="shared" si="752"/>
        <v>-1704.9</v>
      </c>
      <c r="T283" s="7">
        <f t="shared" si="752"/>
        <v>-1775.8</v>
      </c>
      <c r="U283" s="7">
        <f t="shared" si="752"/>
        <v>-1644</v>
      </c>
      <c r="V283" s="7">
        <f t="shared" si="752"/>
        <v>-1681.7</v>
      </c>
      <c r="W283" s="7">
        <f t="shared" si="752"/>
        <v>-1708.7</v>
      </c>
      <c r="X283" s="7">
        <f t="shared" si="752"/>
        <v>-1723.9</v>
      </c>
      <c r="Y283" s="7">
        <f t="shared" si="752"/>
        <v>-1799.6</v>
      </c>
      <c r="Z283" s="7">
        <f t="shared" si="752"/>
        <v>-1853.1000000000001</v>
      </c>
      <c r="AA283" s="7">
        <f t="shared" si="752"/>
        <v>-1799.2</v>
      </c>
      <c r="AB283" s="7">
        <f t="shared" si="752"/>
        <v>-1895.3000000000002</v>
      </c>
      <c r="AC283" s="7">
        <f t="shared" si="752"/>
        <v>-2164.6</v>
      </c>
      <c r="AD283" s="7">
        <f t="shared" si="752"/>
        <v>-2152.6999999999998</v>
      </c>
      <c r="AE283" s="7">
        <f t="shared" si="752"/>
        <v>-2138.3000000000002</v>
      </c>
      <c r="AF283" s="7">
        <f t="shared" si="752"/>
        <v>-2196.3000000000002</v>
      </c>
      <c r="AG283" s="7">
        <f t="shared" si="752"/>
        <v>-2389.6999999999998</v>
      </c>
      <c r="AH283" s="7">
        <f t="shared" si="752"/>
        <v>-2377</v>
      </c>
      <c r="AI283" s="7">
        <f t="shared" ref="AI283:BG283" si="753">+AI130+AI79+AI29+AI181</f>
        <v>-2305.6999999999998</v>
      </c>
      <c r="AJ283" s="7">
        <f t="shared" si="753"/>
        <v>-2456.8999999999996</v>
      </c>
      <c r="AK283" s="7">
        <f t="shared" si="753"/>
        <v>-2575.9</v>
      </c>
      <c r="AL283" s="7">
        <f t="shared" si="753"/>
        <v>-2467.3000000000002</v>
      </c>
      <c r="AM283" s="7">
        <f t="shared" si="753"/>
        <v>-2270.3000000000002</v>
      </c>
      <c r="AN283" s="7">
        <f t="shared" si="753"/>
        <v>-2540.6000000000004</v>
      </c>
      <c r="AO283" s="7">
        <f t="shared" si="753"/>
        <v>-2580.6999999999998</v>
      </c>
      <c r="AP283" s="7">
        <f t="shared" si="753"/>
        <v>-2469.6000000000004</v>
      </c>
      <c r="AQ283" s="7">
        <f t="shared" si="753"/>
        <v>-2601</v>
      </c>
      <c r="AR283" s="7">
        <f t="shared" si="753"/>
        <v>-2747</v>
      </c>
      <c r="AS283" s="6">
        <f t="shared" si="753"/>
        <v>-2935.3</v>
      </c>
      <c r="AT283" s="6">
        <f t="shared" si="753"/>
        <v>-2590.3000000000002</v>
      </c>
      <c r="AU283" s="6">
        <f t="shared" si="753"/>
        <v>-2860.3</v>
      </c>
      <c r="AV283" s="6">
        <f t="shared" si="753"/>
        <v>-3031.7000000000003</v>
      </c>
      <c r="AW283" s="6">
        <f t="shared" si="753"/>
        <v>-3132.3</v>
      </c>
      <c r="AX283" s="6">
        <f t="shared" si="753"/>
        <v>-3012.7</v>
      </c>
      <c r="AY283" s="17">
        <f t="shared" si="753"/>
        <v>-2945.8999999999996</v>
      </c>
      <c r="AZ283" s="6">
        <f t="shared" si="753"/>
        <v>-3394.5</v>
      </c>
      <c r="BA283" s="6">
        <f t="shared" si="753"/>
        <v>-4057.3</v>
      </c>
      <c r="BB283" s="18">
        <f t="shared" si="753"/>
        <v>-3913.7</v>
      </c>
      <c r="BC283" s="38">
        <f t="shared" si="753"/>
        <v>-3763</v>
      </c>
      <c r="BD283" s="5">
        <f t="shared" si="753"/>
        <v>-4116.5</v>
      </c>
      <c r="BE283" s="5">
        <f t="shared" si="753"/>
        <v>-4414.5999999999995</v>
      </c>
      <c r="BF283" s="39">
        <f t="shared" si="753"/>
        <v>-4086.3</v>
      </c>
      <c r="BG283" s="38">
        <f t="shared" si="753"/>
        <v>-4205</v>
      </c>
      <c r="BH283" s="5">
        <f>+BH130+BH79+BH29+BH181</f>
        <v>-4491.3</v>
      </c>
      <c r="BI283" s="5">
        <f>+BI130+BI79+BI29+BI181-0.2</f>
        <v>-4580.3999999999996</v>
      </c>
      <c r="BJ283" s="5">
        <f>+BJ130+BJ79+BJ29+BJ181+0.2</f>
        <v>-4069.3</v>
      </c>
      <c r="BK283" s="276">
        <f>+BK130+BK79+BK29+BK181+0.1</f>
        <v>-4396.8</v>
      </c>
      <c r="BL283" s="244">
        <f>+BL130+BL79+BL29+BL181</f>
        <v>-4525.9000000000005</v>
      </c>
      <c r="BM283" s="244">
        <f>+BM130+BM79+BM29+BM181</f>
        <v>-4771.7999999999993</v>
      </c>
      <c r="BN283" s="315">
        <f>+BN130+BN79+BN29+BN181</f>
        <v>-4184.5999999999995</v>
      </c>
      <c r="BO283" s="276">
        <f>+BO130+BO79+BO29+BO181</f>
        <v>-4029.7</v>
      </c>
      <c r="BP283" s="244">
        <f>+BP130+BP79+BP29+BP181</f>
        <v>-4343.2</v>
      </c>
      <c r="BQ283" s="244">
        <f t="shared" si="742"/>
        <v>-4795.1000000000004</v>
      </c>
      <c r="BR283" s="244">
        <f t="shared" si="742"/>
        <v>-4530.7</v>
      </c>
      <c r="BS283" s="276">
        <f t="shared" si="742"/>
        <v>-3870.8000000000006</v>
      </c>
      <c r="BT283" s="244">
        <f t="shared" si="742"/>
        <v>-4341.5</v>
      </c>
      <c r="BU283" s="244">
        <f t="shared" si="742"/>
        <v>-4714.8999999999996</v>
      </c>
      <c r="BV283" s="315">
        <f t="shared" si="742"/>
        <v>-5407.4</v>
      </c>
      <c r="BW283" s="417">
        <f t="shared" ref="BW283:BX283" si="754">+BW130+BW79+BW29+BW181+BW232</f>
        <v>-4734</v>
      </c>
      <c r="BX283" s="417">
        <f t="shared" si="754"/>
        <v>-3952</v>
      </c>
      <c r="BY283" s="417">
        <f t="shared" ref="BY283:BZ283" si="755">+BY130+BY79+BY29+BY181+BY232</f>
        <v>-5305</v>
      </c>
      <c r="BZ283" s="417">
        <f t="shared" si="755"/>
        <v>-5060</v>
      </c>
      <c r="CA283" s="361">
        <f t="shared" ref="CA283:CB283" si="756">+CA130+CA79+CA29+CA181+CA232</f>
        <v>-4892</v>
      </c>
      <c r="CB283" s="417">
        <f t="shared" si="756"/>
        <v>-5626</v>
      </c>
      <c r="CC283" s="417">
        <f t="shared" ref="CC283:CF283" si="757">+CC130+CC79+CC29+CC181+CC232</f>
        <v>-5978</v>
      </c>
      <c r="CD283" s="431">
        <f t="shared" si="757"/>
        <v>-5760</v>
      </c>
      <c r="CE283" s="361">
        <f t="shared" si="757"/>
        <v>-4775</v>
      </c>
      <c r="CF283" s="417">
        <f t="shared" si="757"/>
        <v>-3784</v>
      </c>
      <c r="CG283" s="417">
        <f t="shared" ref="CG283:CJ283" si="758">+CG130+CG79+CG29+CG181+CG232</f>
        <v>-6342</v>
      </c>
      <c r="CH283" s="431">
        <f t="shared" si="758"/>
        <v>-5274</v>
      </c>
      <c r="CI283" s="361">
        <f t="shared" si="758"/>
        <v>-6011</v>
      </c>
      <c r="CJ283" s="417">
        <f t="shared" si="758"/>
        <v>-6128</v>
      </c>
      <c r="CK283" s="417">
        <f t="shared" ref="CK283:CN283" si="759">+CK130+CK79+CK29+CK181+CK232</f>
        <v>-6436</v>
      </c>
      <c r="CL283" s="431">
        <f t="shared" si="759"/>
        <v>-5506</v>
      </c>
      <c r="CM283" s="361">
        <f t="shared" si="759"/>
        <v>-5684</v>
      </c>
      <c r="CN283" s="417">
        <f t="shared" si="759"/>
        <v>-6298</v>
      </c>
      <c r="CO283" s="417">
        <f t="shared" ref="CO283:CQ283" si="760">+CO130+CO79+CO29+CO181+CO232</f>
        <v>-5915</v>
      </c>
      <c r="CP283" s="431">
        <f t="shared" si="760"/>
        <v>-5701</v>
      </c>
      <c r="CQ283" s="361">
        <f t="shared" si="760"/>
        <v>-5234</v>
      </c>
      <c r="CR283" s="417">
        <f t="shared" ref="CR283:CU283" si="761">+CR130+CR79+CR29+CR181+CR232</f>
        <v>-5900</v>
      </c>
      <c r="CS283" s="417">
        <f t="shared" si="761"/>
        <v>-6218</v>
      </c>
      <c r="CT283" s="431">
        <f t="shared" si="761"/>
        <v>-5639</v>
      </c>
      <c r="CU283" s="361">
        <f t="shared" si="761"/>
        <v>-6683</v>
      </c>
      <c r="CV283" s="417">
        <f t="shared" ref="CV283:CX283" si="762">+CV130+CV79+CV29+CV181+CV232</f>
        <v>-6995</v>
      </c>
      <c r="CW283" s="417">
        <f t="shared" si="762"/>
        <v>0</v>
      </c>
      <c r="CX283" s="431">
        <f t="shared" si="762"/>
        <v>0</v>
      </c>
    </row>
    <row r="284" spans="1:119" x14ac:dyDescent="0.25">
      <c r="A284" s="225"/>
      <c r="B284" s="250"/>
      <c r="C284" s="15">
        <f t="shared" ref="C284:BH284" si="763">+C282+C283</f>
        <v>1115.6999999999998</v>
      </c>
      <c r="D284" s="15">
        <f t="shared" si="763"/>
        <v>1111.4999999999998</v>
      </c>
      <c r="E284" s="15">
        <f t="shared" si="763"/>
        <v>1046.5</v>
      </c>
      <c r="F284" s="15">
        <f t="shared" si="763"/>
        <v>893.79999999999973</v>
      </c>
      <c r="G284" s="15">
        <f t="shared" si="763"/>
        <v>695.90000000000009</v>
      </c>
      <c r="H284" s="15">
        <f t="shared" si="763"/>
        <v>360.79999999999973</v>
      </c>
      <c r="I284" s="15">
        <f t="shared" si="763"/>
        <v>215.79999999999973</v>
      </c>
      <c r="J284" s="15">
        <f t="shared" si="763"/>
        <v>136.5</v>
      </c>
      <c r="K284" s="15">
        <f t="shared" si="763"/>
        <v>273.5</v>
      </c>
      <c r="L284" s="15">
        <f t="shared" si="763"/>
        <v>162.60000000000014</v>
      </c>
      <c r="M284" s="15">
        <f t="shared" si="763"/>
        <v>120.30000000000018</v>
      </c>
      <c r="N284" s="15">
        <f t="shared" si="763"/>
        <v>223.90000000000009</v>
      </c>
      <c r="O284" s="15">
        <f t="shared" si="763"/>
        <v>165.80000000000018</v>
      </c>
      <c r="P284" s="15">
        <f t="shared" si="763"/>
        <v>223.5</v>
      </c>
      <c r="Q284" s="15">
        <f t="shared" si="763"/>
        <v>170</v>
      </c>
      <c r="R284" s="15">
        <f t="shared" si="763"/>
        <v>460.79999999999973</v>
      </c>
      <c r="S284" s="15">
        <f t="shared" si="763"/>
        <v>482.90000000000009</v>
      </c>
      <c r="T284" s="15">
        <f t="shared" si="763"/>
        <v>911.2</v>
      </c>
      <c r="U284" s="15">
        <f t="shared" si="763"/>
        <v>1226</v>
      </c>
      <c r="V284" s="15">
        <f t="shared" si="763"/>
        <v>1131.3999999999999</v>
      </c>
      <c r="W284" s="15">
        <f t="shared" si="763"/>
        <v>1074.8</v>
      </c>
      <c r="X284" s="15">
        <f t="shared" si="763"/>
        <v>1186.2999999999997</v>
      </c>
      <c r="Y284" s="15">
        <f t="shared" si="763"/>
        <v>1162.3000000000002</v>
      </c>
      <c r="Z284" s="15">
        <f t="shared" si="763"/>
        <v>1260.3</v>
      </c>
      <c r="AA284" s="15">
        <f t="shared" si="763"/>
        <v>1436.8999999999999</v>
      </c>
      <c r="AB284" s="15">
        <f t="shared" si="763"/>
        <v>1715.1999999999998</v>
      </c>
      <c r="AC284" s="15">
        <f t="shared" si="763"/>
        <v>967.80000000000018</v>
      </c>
      <c r="AD284" s="15">
        <f t="shared" si="763"/>
        <v>1436.4</v>
      </c>
      <c r="AE284" s="15">
        <f t="shared" si="763"/>
        <v>2086.0999999999995</v>
      </c>
      <c r="AF284" s="15">
        <f t="shared" si="763"/>
        <v>1525.1999999999998</v>
      </c>
      <c r="AG284" s="15">
        <f t="shared" si="763"/>
        <v>1062.5</v>
      </c>
      <c r="AH284" s="15">
        <f t="shared" si="763"/>
        <v>1316.4</v>
      </c>
      <c r="AI284" s="15">
        <f t="shared" si="763"/>
        <v>495.20000000000027</v>
      </c>
      <c r="AJ284" s="15">
        <f t="shared" si="763"/>
        <v>1307.0000000000005</v>
      </c>
      <c r="AK284" s="15">
        <f t="shared" si="763"/>
        <v>1241.9000000000001</v>
      </c>
      <c r="AL284" s="15">
        <f t="shared" si="763"/>
        <v>1379.0999999999995</v>
      </c>
      <c r="AM284" s="15">
        <f t="shared" si="763"/>
        <v>1000</v>
      </c>
      <c r="AN284" s="15">
        <f t="shared" si="763"/>
        <v>1247.0999999999995</v>
      </c>
      <c r="AO284" s="15">
        <f t="shared" si="763"/>
        <v>1859.3000000000002</v>
      </c>
      <c r="AP284" s="15">
        <f t="shared" si="763"/>
        <v>2645.5</v>
      </c>
      <c r="AQ284" s="15">
        <f t="shared" si="763"/>
        <v>1679.6000000000004</v>
      </c>
      <c r="AR284" s="15">
        <f t="shared" si="763"/>
        <v>1964.3000000000002</v>
      </c>
      <c r="AS284" s="15">
        <f t="shared" si="763"/>
        <v>1350.5</v>
      </c>
      <c r="AT284" s="15">
        <f t="shared" si="763"/>
        <v>685.5</v>
      </c>
      <c r="AU284" s="15">
        <f t="shared" si="763"/>
        <v>1517.8000000000002</v>
      </c>
      <c r="AV284" s="15">
        <f t="shared" si="763"/>
        <v>1805.6</v>
      </c>
      <c r="AW284" s="15">
        <f t="shared" si="763"/>
        <v>1994.6000000000004</v>
      </c>
      <c r="AX284" s="15">
        <f t="shared" si="763"/>
        <v>1976.1999999999998</v>
      </c>
      <c r="AY284" s="14">
        <f t="shared" si="763"/>
        <v>1743.5</v>
      </c>
      <c r="AZ284" s="15">
        <f t="shared" si="763"/>
        <v>1744.6000000000004</v>
      </c>
      <c r="BA284" s="15">
        <f t="shared" si="763"/>
        <v>1784.7999999999993</v>
      </c>
      <c r="BB284" s="16">
        <f t="shared" si="763"/>
        <v>2196.1999999999998</v>
      </c>
      <c r="BC284" s="29">
        <f t="shared" si="763"/>
        <v>744.40000000000055</v>
      </c>
      <c r="BD284" s="30">
        <f t="shared" si="763"/>
        <v>1621.5999999999995</v>
      </c>
      <c r="BE284" s="30">
        <f t="shared" si="763"/>
        <v>1592.6000000000013</v>
      </c>
      <c r="BF284" s="31">
        <f t="shared" si="763"/>
        <v>2378.4000000000005</v>
      </c>
      <c r="BG284" s="29">
        <f t="shared" si="763"/>
        <v>2530.6000000000004</v>
      </c>
      <c r="BH284" s="30">
        <f t="shared" si="763"/>
        <v>2790.0999999999995</v>
      </c>
      <c r="BI284" s="30">
        <f t="shared" ref="BI284:BR284" si="764">+BI282+BI283</f>
        <v>2530.5000000000009</v>
      </c>
      <c r="BJ284" s="30">
        <f t="shared" si="764"/>
        <v>2304.0999999999995</v>
      </c>
      <c r="BK284" s="210">
        <f t="shared" si="764"/>
        <v>967</v>
      </c>
      <c r="BL284" s="221">
        <f t="shared" si="764"/>
        <v>1385.9000000000005</v>
      </c>
      <c r="BM284" s="221">
        <f t="shared" si="764"/>
        <v>1507.1000000000013</v>
      </c>
      <c r="BN284" s="222">
        <f t="shared" si="764"/>
        <v>1734.3999999999996</v>
      </c>
      <c r="BO284" s="210">
        <f t="shared" si="764"/>
        <v>574.30000000000018</v>
      </c>
      <c r="BP284" s="221">
        <f t="shared" si="764"/>
        <v>732.80000000000018</v>
      </c>
      <c r="BQ284" s="221">
        <f t="shared" si="764"/>
        <v>448.49999999999909</v>
      </c>
      <c r="BR284" s="221">
        <f t="shared" si="764"/>
        <v>222.89999999999964</v>
      </c>
      <c r="BS284" s="210">
        <f t="shared" ref="BS284:BX284" si="765">+BS282+BS283</f>
        <v>-1343.6000000000008</v>
      </c>
      <c r="BT284" s="221">
        <f t="shared" si="765"/>
        <v>-928.20000000000027</v>
      </c>
      <c r="BU284" s="221">
        <f t="shared" si="765"/>
        <v>962</v>
      </c>
      <c r="BV284" s="222">
        <f t="shared" si="765"/>
        <v>1334.8000000000002</v>
      </c>
      <c r="BW284" s="214">
        <f t="shared" si="765"/>
        <v>1149</v>
      </c>
      <c r="BX284" s="214">
        <f t="shared" si="765"/>
        <v>430</v>
      </c>
      <c r="BY284" s="214">
        <f t="shared" ref="BY284:BZ284" si="766">+BY282+BY283</f>
        <v>3446</v>
      </c>
      <c r="BZ284" s="214">
        <f t="shared" si="766"/>
        <v>3270</v>
      </c>
      <c r="CA284" s="213">
        <f t="shared" ref="CA284:CB284" si="767">+CA282+CA283</f>
        <v>1568</v>
      </c>
      <c r="CB284" s="214">
        <f t="shared" si="767"/>
        <v>1221</v>
      </c>
      <c r="CC284" s="214">
        <f t="shared" ref="CC284:CF284" si="768">+CC282+CC283</f>
        <v>1620</v>
      </c>
      <c r="CD284" s="259">
        <f t="shared" si="768"/>
        <v>1694</v>
      </c>
      <c r="CE284" s="213">
        <f t="shared" si="768"/>
        <v>-426</v>
      </c>
      <c r="CF284" s="214">
        <f t="shared" si="768"/>
        <v>-2152</v>
      </c>
      <c r="CG284" s="214">
        <f t="shared" ref="CG284:CJ284" si="769">+CG282+CG283</f>
        <v>-610</v>
      </c>
      <c r="CH284" s="259">
        <f t="shared" si="769"/>
        <v>855</v>
      </c>
      <c r="CI284" s="213">
        <f t="shared" si="769"/>
        <v>1189</v>
      </c>
      <c r="CJ284" s="214">
        <f t="shared" si="769"/>
        <v>1931</v>
      </c>
      <c r="CK284" s="214">
        <f t="shared" ref="CK284:CN284" si="770">+CK282+CK283</f>
        <v>690</v>
      </c>
      <c r="CL284" s="259">
        <f t="shared" si="770"/>
        <v>1251</v>
      </c>
      <c r="CM284" s="213">
        <f t="shared" si="770"/>
        <v>1019</v>
      </c>
      <c r="CN284" s="214">
        <f t="shared" si="770"/>
        <v>1866</v>
      </c>
      <c r="CO284" s="214">
        <f t="shared" ref="CO284:CQ284" si="771">+CO282+CO283</f>
        <v>1697</v>
      </c>
      <c r="CP284" s="259">
        <f t="shared" si="771"/>
        <v>2531</v>
      </c>
      <c r="CQ284" s="213">
        <f t="shared" si="771"/>
        <v>2064</v>
      </c>
      <c r="CR284" s="214">
        <f t="shared" ref="CR284:CU284" si="772">+CR282+CR283</f>
        <v>2996</v>
      </c>
      <c r="CS284" s="214">
        <f t="shared" si="772"/>
        <v>3748</v>
      </c>
      <c r="CT284" s="259">
        <f t="shared" si="772"/>
        <v>3372</v>
      </c>
      <c r="CU284" s="213">
        <f t="shared" si="772"/>
        <v>4960</v>
      </c>
      <c r="CV284" s="214">
        <f t="shared" ref="CV284:CX284" si="773">+CV282+CV283</f>
        <v>4617</v>
      </c>
      <c r="CW284" s="214">
        <f t="shared" si="773"/>
        <v>0</v>
      </c>
      <c r="CX284" s="259">
        <f t="shared" si="773"/>
        <v>0</v>
      </c>
    </row>
    <row r="285" spans="1:119" x14ac:dyDescent="0.25">
      <c r="A285" s="225"/>
      <c r="B285" s="25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4"/>
      <c r="AZ285" s="15"/>
      <c r="BA285" s="15"/>
      <c r="BB285" s="16"/>
      <c r="BC285" s="55"/>
      <c r="BD285" s="30"/>
      <c r="BE285" s="30"/>
      <c r="BF285" s="31"/>
      <c r="BG285" s="55"/>
      <c r="BH285" s="56"/>
      <c r="BI285" s="56"/>
      <c r="BJ285" s="56"/>
      <c r="BK285" s="316"/>
      <c r="BL285" s="208"/>
      <c r="BM285" s="208"/>
      <c r="BN285" s="227"/>
      <c r="BO285" s="316"/>
      <c r="BP285" s="208"/>
      <c r="BQ285" s="208"/>
      <c r="BR285" s="208"/>
      <c r="BS285" s="225"/>
      <c r="BT285" s="208"/>
      <c r="BU285" s="208"/>
      <c r="BV285" s="227"/>
      <c r="BW285" s="249"/>
      <c r="BX285" s="249"/>
      <c r="BY285" s="249"/>
      <c r="BZ285" s="249"/>
      <c r="CA285" s="262"/>
      <c r="CB285" s="249"/>
      <c r="CC285" s="249"/>
      <c r="CD285" s="291"/>
      <c r="CE285" s="262"/>
      <c r="CF285" s="249"/>
      <c r="CG285" s="249"/>
      <c r="CH285" s="291"/>
      <c r="CI285" s="262"/>
      <c r="CJ285" s="249"/>
      <c r="CK285" s="249"/>
      <c r="CL285" s="291"/>
      <c r="CM285" s="262"/>
      <c r="CN285" s="249"/>
      <c r="CO285" s="249"/>
      <c r="CP285" s="291"/>
      <c r="CQ285" s="262"/>
      <c r="CR285" s="249"/>
      <c r="CS285" s="249"/>
      <c r="CT285" s="291"/>
      <c r="CU285" s="262"/>
      <c r="CV285" s="249"/>
      <c r="CW285" s="249"/>
      <c r="CX285" s="291"/>
    </row>
    <row r="286" spans="1:119" x14ac:dyDescent="0.25">
      <c r="A286" s="225"/>
      <c r="B286" s="250" t="s">
        <v>94</v>
      </c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29">
        <v>618.79999999999995</v>
      </c>
      <c r="AZ286" s="30">
        <v>726.9</v>
      </c>
      <c r="BA286" s="30">
        <v>840.3</v>
      </c>
      <c r="BB286" s="31">
        <v>1064.8</v>
      </c>
      <c r="BC286" s="29">
        <v>720.9</v>
      </c>
      <c r="BD286" s="30">
        <v>836</v>
      </c>
      <c r="BE286" s="30">
        <v>872.9</v>
      </c>
      <c r="BF286" s="31">
        <v>915</v>
      </c>
      <c r="BG286" s="29">
        <v>739</v>
      </c>
      <c r="BH286" s="30">
        <f>1693.3-BG286</f>
        <v>954.3</v>
      </c>
      <c r="BI286" s="30">
        <f>+BI177+BI126+BI75+BI25+139.5</f>
        <v>1024</v>
      </c>
      <c r="BJ286" s="30">
        <f>+BJ177+BJ126+BJ75+BJ25+183.7-15.3</f>
        <v>1106.9000000000001</v>
      </c>
      <c r="BK286" s="210">
        <f>+BK177+BK126+BK75+BK25+92.9+1.6+0.1</f>
        <v>806.6</v>
      </c>
      <c r="BL286" s="221">
        <f>+BL177+BL126+BL75+BL25+111.3</f>
        <v>827.6</v>
      </c>
      <c r="BM286" s="221">
        <f>+BM177+BM126+BM75+BM25+93</f>
        <v>867.89999999999986</v>
      </c>
      <c r="BN286" s="222">
        <f>+BN177+BN126+BN75+BN25+102.6-26.5+0.2</f>
        <v>881.6</v>
      </c>
      <c r="BO286" s="210">
        <v>699.2</v>
      </c>
      <c r="BP286" s="221">
        <v>731</v>
      </c>
      <c r="BQ286" s="221">
        <f>+BQ177+BQ126+BQ75+BQ25+BQ228</f>
        <v>879</v>
      </c>
      <c r="BR286" s="221">
        <f t="shared" ref="BR286:BW286" si="774">+BR279</f>
        <v>880.1</v>
      </c>
      <c r="BS286" s="210">
        <f t="shared" si="774"/>
        <v>75.8</v>
      </c>
      <c r="BT286" s="221">
        <f t="shared" si="774"/>
        <v>333.2</v>
      </c>
      <c r="BU286" s="221">
        <f t="shared" si="774"/>
        <v>752.4799999999999</v>
      </c>
      <c r="BV286" s="222">
        <f t="shared" si="774"/>
        <v>839.69999999999993</v>
      </c>
      <c r="BW286" s="214">
        <f t="shared" si="774"/>
        <v>778</v>
      </c>
      <c r="BX286" s="214">
        <f t="shared" ref="BX286:BY286" si="775">+BX279</f>
        <v>322</v>
      </c>
      <c r="BY286" s="214">
        <f t="shared" si="775"/>
        <v>849</v>
      </c>
      <c r="BZ286" s="214">
        <f t="shared" ref="BZ286:CB286" si="776">+BZ279</f>
        <v>1005</v>
      </c>
      <c r="CA286" s="213">
        <f t="shared" si="776"/>
        <v>842</v>
      </c>
      <c r="CB286" s="214">
        <f t="shared" si="776"/>
        <v>994</v>
      </c>
      <c r="CC286" s="214">
        <f t="shared" ref="CC286:CF286" si="777">+CC279</f>
        <v>1130</v>
      </c>
      <c r="CD286" s="259">
        <f t="shared" si="777"/>
        <v>1195</v>
      </c>
      <c r="CE286" s="213">
        <f t="shared" si="777"/>
        <v>800</v>
      </c>
      <c r="CF286" s="214">
        <f t="shared" si="777"/>
        <v>458</v>
      </c>
      <c r="CG286" s="214">
        <f t="shared" ref="CG286:CJ286" si="778">+CG279</f>
        <v>1039</v>
      </c>
      <c r="CH286" s="259">
        <f t="shared" si="778"/>
        <v>1286</v>
      </c>
      <c r="CI286" s="213">
        <f t="shared" si="778"/>
        <v>1123</v>
      </c>
      <c r="CJ286" s="214">
        <f t="shared" si="778"/>
        <v>1409</v>
      </c>
      <c r="CK286" s="214">
        <f t="shared" ref="CK286:CP286" si="779">+CK279</f>
        <v>1238</v>
      </c>
      <c r="CL286" s="259">
        <f t="shared" si="779"/>
        <v>1381</v>
      </c>
      <c r="CM286" s="213">
        <f t="shared" si="779"/>
        <v>1155</v>
      </c>
      <c r="CN286" s="214">
        <f t="shared" si="779"/>
        <v>3000</v>
      </c>
      <c r="CO286" s="214">
        <f t="shared" si="779"/>
        <v>1243</v>
      </c>
      <c r="CP286" s="259">
        <f t="shared" si="779"/>
        <v>1502</v>
      </c>
      <c r="CQ286" s="213">
        <f t="shared" ref="CQ286:CT286" si="780">+CQ279</f>
        <v>1218</v>
      </c>
      <c r="CR286" s="214">
        <f t="shared" si="780"/>
        <v>1725</v>
      </c>
      <c r="CS286" s="214">
        <f t="shared" si="780"/>
        <v>1856</v>
      </c>
      <c r="CT286" s="259">
        <f t="shared" si="780"/>
        <v>1886</v>
      </c>
      <c r="CU286" s="213">
        <f t="shared" ref="CU286:CX286" si="781">+CU279</f>
        <v>1405</v>
      </c>
      <c r="CV286" s="214">
        <f t="shared" si="781"/>
        <v>1959</v>
      </c>
      <c r="CW286" s="214">
        <f t="shared" si="781"/>
        <v>0</v>
      </c>
      <c r="CX286" s="259">
        <f t="shared" si="781"/>
        <v>0</v>
      </c>
      <c r="CY286" s="249"/>
    </row>
    <row r="287" spans="1:119" x14ac:dyDescent="0.25">
      <c r="A287" s="225"/>
      <c r="B287" s="25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4"/>
      <c r="AZ287" s="15"/>
      <c r="BA287" s="15"/>
      <c r="BB287" s="16"/>
      <c r="BC287" s="55"/>
      <c r="BD287" s="56"/>
      <c r="BE287" s="30"/>
      <c r="BF287" s="31"/>
      <c r="BG287" s="55"/>
      <c r="BH287" s="56"/>
      <c r="BI287" s="15"/>
      <c r="BJ287" s="15"/>
      <c r="BK287" s="225"/>
      <c r="BL287" s="208"/>
      <c r="BM287" s="208"/>
      <c r="BN287" s="227"/>
      <c r="BO287" s="225"/>
      <c r="BP287" s="208"/>
      <c r="BQ287" s="208"/>
      <c r="BR287" s="208"/>
      <c r="BS287" s="225"/>
      <c r="BT287" s="208"/>
      <c r="BU287" s="208"/>
      <c r="BV287" s="227"/>
      <c r="BW287" s="208"/>
      <c r="BX287" s="208"/>
      <c r="BY287" s="208"/>
      <c r="BZ287" s="208"/>
      <c r="CA287" s="225"/>
      <c r="CB287" s="208"/>
      <c r="CC287" s="208"/>
      <c r="CD287" s="227"/>
      <c r="CE287" s="225"/>
      <c r="CF287" s="208"/>
      <c r="CG287" s="208"/>
      <c r="CH287" s="227"/>
      <c r="CI287" s="225"/>
      <c r="CJ287" s="208"/>
      <c r="CK287" s="208"/>
      <c r="CL287" s="227"/>
      <c r="CM287" s="225"/>
      <c r="CN287" s="208"/>
      <c r="CO287" s="208"/>
      <c r="CP287" s="227"/>
      <c r="CQ287" s="225"/>
      <c r="CR287" s="208"/>
      <c r="CS287" s="208"/>
      <c r="CT287" s="227"/>
      <c r="CU287" s="225"/>
      <c r="CV287" s="208"/>
      <c r="CW287" s="208"/>
      <c r="CX287" s="227"/>
    </row>
    <row r="288" spans="1:119" x14ac:dyDescent="0.25">
      <c r="A288" s="225"/>
      <c r="B288" s="292" t="s">
        <v>115</v>
      </c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Y288" s="22" t="s">
        <v>93</v>
      </c>
      <c r="BB288" s="23"/>
      <c r="BC288" s="46"/>
      <c r="BD288" s="47"/>
      <c r="BE288" s="50"/>
      <c r="BF288" s="51"/>
      <c r="BG288" s="46"/>
      <c r="BH288" s="47"/>
      <c r="BK288" s="225"/>
      <c r="BL288" s="208"/>
      <c r="BM288" s="208"/>
      <c r="BN288" s="227"/>
      <c r="BO288" s="225"/>
      <c r="BP288" s="208"/>
      <c r="BQ288" s="208"/>
      <c r="BR288" s="208"/>
      <c r="BS288" s="225"/>
      <c r="BT288" s="208"/>
      <c r="BU288" s="208"/>
      <c r="BV288" s="227"/>
      <c r="BW288" s="208"/>
      <c r="BX288" s="208"/>
      <c r="BY288" s="208"/>
      <c r="BZ288" s="208"/>
      <c r="CA288" s="225"/>
      <c r="CB288" s="208"/>
      <c r="CC288" s="208"/>
      <c r="CD288" s="227"/>
      <c r="CE288" s="225"/>
      <c r="CF288" s="208"/>
      <c r="CG288" s="208"/>
      <c r="CH288" s="227"/>
      <c r="CI288" s="225"/>
      <c r="CJ288" s="208"/>
      <c r="CK288" s="208"/>
      <c r="CL288" s="227"/>
      <c r="CM288" s="225"/>
      <c r="CN288" s="208"/>
      <c r="CO288" s="208"/>
      <c r="CP288" s="227"/>
      <c r="CQ288" s="225"/>
      <c r="CR288" s="208"/>
      <c r="CS288" s="208"/>
      <c r="CT288" s="227"/>
      <c r="CU288" s="225"/>
      <c r="CV288" s="208"/>
      <c r="CW288" s="208"/>
      <c r="CX288" s="227"/>
    </row>
    <row r="289" spans="1:102" x14ac:dyDescent="0.25">
      <c r="A289" s="225"/>
      <c r="B289" s="227" t="s">
        <v>72</v>
      </c>
      <c r="C289" s="32">
        <f t="shared" ref="C289:AH289" si="782">+C282*(1000000)/(C270)</f>
        <v>105224.64261402315</v>
      </c>
      <c r="D289" s="32">
        <f t="shared" si="782"/>
        <v>98997.382725991542</v>
      </c>
      <c r="E289" s="32">
        <f t="shared" si="782"/>
        <v>108032.16180371353</v>
      </c>
      <c r="F289" s="32">
        <f t="shared" si="782"/>
        <v>100567.99473164305</v>
      </c>
      <c r="G289" s="32">
        <f t="shared" si="782"/>
        <v>94745.484400656816</v>
      </c>
      <c r="H289" s="32">
        <f t="shared" si="782"/>
        <v>86628.089534831553</v>
      </c>
      <c r="I289" s="32">
        <f t="shared" si="782"/>
        <v>86037.462673061265</v>
      </c>
      <c r="J289" s="32">
        <f t="shared" si="782"/>
        <v>84585.981394492032</v>
      </c>
      <c r="K289" s="32">
        <f t="shared" si="782"/>
        <v>88665.371809101009</v>
      </c>
      <c r="L289" s="32">
        <f t="shared" si="782"/>
        <v>83412.975555963974</v>
      </c>
      <c r="M289" s="32">
        <f t="shared" si="782"/>
        <v>81913.770145553062</v>
      </c>
      <c r="N289" s="32">
        <f t="shared" si="782"/>
        <v>84656.951765070655</v>
      </c>
      <c r="O289" s="32">
        <f t="shared" si="782"/>
        <v>82025.671156105935</v>
      </c>
      <c r="P289" s="32">
        <f t="shared" si="782"/>
        <v>88200.037460198539</v>
      </c>
      <c r="Q289" s="32">
        <f t="shared" si="782"/>
        <v>91535.364580744572</v>
      </c>
      <c r="R289" s="32">
        <f t="shared" si="782"/>
        <v>101069.27224961974</v>
      </c>
      <c r="S289" s="32">
        <f t="shared" si="782"/>
        <v>108813.28956530389</v>
      </c>
      <c r="T289" s="32">
        <f t="shared" si="782"/>
        <v>129164.06287554679</v>
      </c>
      <c r="U289" s="32">
        <f t="shared" si="782"/>
        <v>142121.42220461523</v>
      </c>
      <c r="V289" s="32">
        <f t="shared" si="782"/>
        <v>144158.04038126473</v>
      </c>
      <c r="W289" s="32">
        <f t="shared" si="782"/>
        <v>151565.47781105363</v>
      </c>
      <c r="X289" s="32">
        <f t="shared" si="782"/>
        <v>151944.8650341983</v>
      </c>
      <c r="Y289" s="32">
        <f t="shared" si="782"/>
        <v>154878.68646726626</v>
      </c>
      <c r="Z289" s="32">
        <f t="shared" si="782"/>
        <v>169871.23526844173</v>
      </c>
      <c r="AA289" s="8">
        <f t="shared" si="782"/>
        <v>222718.51342050929</v>
      </c>
      <c r="AB289" s="8">
        <f t="shared" si="782"/>
        <v>225079.48382270432</v>
      </c>
      <c r="AC289" s="8">
        <f t="shared" si="782"/>
        <v>216700.1037703217</v>
      </c>
      <c r="AD289" s="8">
        <f t="shared" si="782"/>
        <v>254546.09929078014</v>
      </c>
      <c r="AE289" s="8">
        <f t="shared" si="782"/>
        <v>289580.47710446938</v>
      </c>
      <c r="AF289" s="8">
        <f t="shared" si="782"/>
        <v>250893.27850064047</v>
      </c>
      <c r="AG289" s="8">
        <f t="shared" si="782"/>
        <v>240504.38902048211</v>
      </c>
      <c r="AH289" s="8">
        <f t="shared" si="782"/>
        <v>263250.17818959372</v>
      </c>
      <c r="AI289" s="8">
        <f t="shared" ref="AI289:AZ289" si="783">+AI282*(1000000)/(AI270)</f>
        <v>266854.03963414632</v>
      </c>
      <c r="AJ289" s="8">
        <f t="shared" si="783"/>
        <v>289352.70602706028</v>
      </c>
      <c r="AK289" s="8">
        <f t="shared" si="783"/>
        <v>287918.55203619908</v>
      </c>
      <c r="AL289" s="8">
        <f t="shared" si="783"/>
        <v>301891.53127697977</v>
      </c>
      <c r="AM289" s="8">
        <f t="shared" si="783"/>
        <v>311962.22455403989</v>
      </c>
      <c r="AN289" s="8">
        <f t="shared" si="783"/>
        <v>328707.80178772891</v>
      </c>
      <c r="AO289" s="8">
        <f t="shared" si="783"/>
        <v>392226.14840989397</v>
      </c>
      <c r="AP289" s="8">
        <f t="shared" si="783"/>
        <v>437974.14162171417</v>
      </c>
      <c r="AQ289" s="8">
        <f t="shared" si="783"/>
        <v>418558.71712134551</v>
      </c>
      <c r="AR289" s="8">
        <f t="shared" si="783"/>
        <v>421592.84116331098</v>
      </c>
      <c r="AS289" s="8">
        <f t="shared" si="783"/>
        <v>436169.34663138614</v>
      </c>
      <c r="AT289" s="8">
        <f t="shared" si="783"/>
        <v>479549.11433172302</v>
      </c>
      <c r="AU289" s="8">
        <f t="shared" si="783"/>
        <v>470156.78694158077</v>
      </c>
      <c r="AV289" s="8">
        <f t="shared" si="783"/>
        <v>435753.53571750293</v>
      </c>
      <c r="AW289" s="8">
        <f t="shared" si="783"/>
        <v>425080.83906807069</v>
      </c>
      <c r="AX289" s="8">
        <f t="shared" si="783"/>
        <v>415741.66666666669</v>
      </c>
      <c r="AY289" s="10">
        <f t="shared" si="783"/>
        <v>453608.04797833238</v>
      </c>
      <c r="AZ289" s="8">
        <f t="shared" si="783"/>
        <v>435332.48623464635</v>
      </c>
      <c r="BA289" s="8">
        <f>+BA282*(1000000)/(BA270)+7</f>
        <v>442255.29674489016</v>
      </c>
      <c r="BB289" s="9">
        <f>+BB282*(1000000)/(BB270)</f>
        <v>433972.58328006248</v>
      </c>
      <c r="BC289" s="34">
        <f>+BC282*(1000000)/(BC270)</f>
        <v>459563.62153344217</v>
      </c>
      <c r="BD289" s="32">
        <f>+BD282*(1000000)/(BD270)-8</f>
        <v>462891.32236205222</v>
      </c>
      <c r="BE289" s="32">
        <f>+BE282*(1000000)/(BE270)+8</f>
        <v>470349.37175070477</v>
      </c>
      <c r="BF289" s="33">
        <f>+BF282*(1000000)/(BF270)</f>
        <v>505094.14798031101</v>
      </c>
      <c r="BG289" s="34">
        <f>+BG282*(1000000)/(BG270)</f>
        <v>600267.35585063719</v>
      </c>
      <c r="BH289" s="32">
        <f>+BH282*(1000000)/(BH270)</f>
        <v>606379.08061292476</v>
      </c>
      <c r="BI289" s="32">
        <f>+BI282*(1000000)/(BI270)</f>
        <v>597705.30385811557</v>
      </c>
      <c r="BJ289" s="32">
        <f>+BJ282*(1000000)/(BJ270)+5862</f>
        <v>541082.02015451796</v>
      </c>
      <c r="BK289" s="213">
        <f>+BK282*(1000000)/(BK270)-6484</f>
        <v>515997.97934930841</v>
      </c>
      <c r="BL289" s="214">
        <f>+BL282*(1000000)/(BL270)</f>
        <v>530111.19081779057</v>
      </c>
      <c r="BM289" s="214">
        <f>+BM282*(1000000)/(BM270)</f>
        <v>542406.70352453354</v>
      </c>
      <c r="BN289" s="259">
        <f>+BN282*(1000000)/(BN270)</f>
        <v>556296.99248120293</v>
      </c>
      <c r="BO289" s="213">
        <f>+BO282*(1000000)/(BO270)</f>
        <v>507719.45302161446</v>
      </c>
      <c r="BP289" s="214">
        <f>+BP282*(1000000)/(BP270)+10</f>
        <v>531639.66066191869</v>
      </c>
      <c r="BQ289" s="214">
        <v>544542</v>
      </c>
      <c r="BR289" s="214">
        <v>561788</v>
      </c>
      <c r="BS289" s="213">
        <v>588040</v>
      </c>
      <c r="BT289" s="214">
        <v>604542</v>
      </c>
      <c r="BU289" s="214">
        <v>684172</v>
      </c>
      <c r="BV289" s="259">
        <v>669797</v>
      </c>
      <c r="BW289" s="214">
        <v>795323</v>
      </c>
      <c r="BX289" s="214">
        <v>972396</v>
      </c>
      <c r="BY289" s="214">
        <v>1002945</v>
      </c>
      <c r="BZ289" s="214">
        <v>932341</v>
      </c>
      <c r="CA289" s="213">
        <v>857126</v>
      </c>
      <c r="CB289" s="214">
        <v>820688</v>
      </c>
      <c r="CC289" s="214">
        <v>837799</v>
      </c>
      <c r="CD289" s="259">
        <v>884643</v>
      </c>
      <c r="CE289" s="213">
        <v>916351</v>
      </c>
      <c r="CF289" s="214">
        <v>940634</v>
      </c>
      <c r="CG289" s="214">
        <v>944316</v>
      </c>
      <c r="CH289" s="259">
        <v>971623</v>
      </c>
      <c r="CI289" s="213">
        <v>1064302</v>
      </c>
      <c r="CJ289" s="214">
        <v>1184973</v>
      </c>
      <c r="CK289" s="214">
        <v>1153448</v>
      </c>
      <c r="CL289" s="259">
        <v>1188566</v>
      </c>
      <c r="CM289" s="213">
        <v>1254539</v>
      </c>
      <c r="CN289" s="214">
        <v>1393320</v>
      </c>
      <c r="CO289" s="214">
        <v>1426290</v>
      </c>
      <c r="CP289" s="259">
        <v>1521269</v>
      </c>
      <c r="CQ289" s="213">
        <v>1682730</v>
      </c>
      <c r="CR289" s="214">
        <v>1910621</v>
      </c>
      <c r="CS289" s="214">
        <v>1929491</v>
      </c>
      <c r="CT289" s="259">
        <v>2236439</v>
      </c>
      <c r="CU289" s="213">
        <v>2502794</v>
      </c>
      <c r="CV289" s="214">
        <v>2352512</v>
      </c>
      <c r="CW289" s="214"/>
      <c r="CX289" s="259"/>
    </row>
    <row r="290" spans="1:102" x14ac:dyDescent="0.25">
      <c r="A290" s="225"/>
      <c r="B290" s="227" t="s">
        <v>73</v>
      </c>
      <c r="C290" s="32">
        <f>+C289/(32.15074)/(C301)</f>
        <v>283.8554118821221</v>
      </c>
      <c r="D290" s="32">
        <f t="shared" ref="D290:BD290" si="784">+D289/(32.15074)/(D301)</f>
        <v>292.97463615354502</v>
      </c>
      <c r="E290" s="32">
        <f t="shared" si="784"/>
        <v>323.71642821038529</v>
      </c>
      <c r="F290" s="32">
        <f t="shared" si="784"/>
        <v>320.16529478342414</v>
      </c>
      <c r="G290" s="32">
        <f t="shared" si="784"/>
        <v>351.66045083966139</v>
      </c>
      <c r="H290" s="32">
        <f t="shared" si="784"/>
        <v>348.11825885883803</v>
      </c>
      <c r="I290" s="32">
        <f t="shared" si="784"/>
        <v>359.68612512387659</v>
      </c>
      <c r="J290" s="32">
        <f t="shared" si="784"/>
        <v>389.18914902727113</v>
      </c>
      <c r="K290" s="32">
        <f t="shared" si="784"/>
        <v>406.15639152672213</v>
      </c>
      <c r="L290" s="32">
        <f t="shared" si="784"/>
        <v>393.09607274020789</v>
      </c>
      <c r="M290" s="32">
        <f t="shared" si="784"/>
        <v>400.5980455750431</v>
      </c>
      <c r="N290" s="32">
        <f t="shared" si="784"/>
        <v>430.24935835786357</v>
      </c>
      <c r="O290" s="32">
        <f t="shared" si="784"/>
        <v>428.78724051327657</v>
      </c>
      <c r="P290" s="32">
        <f t="shared" si="784"/>
        <v>429.31586531832056</v>
      </c>
      <c r="Q290" s="32">
        <f t="shared" si="784"/>
        <v>436.66697397136011</v>
      </c>
      <c r="R290" s="32">
        <f t="shared" si="784"/>
        <v>481.40986322668505</v>
      </c>
      <c r="S290" s="32">
        <f t="shared" si="784"/>
        <v>551.21699006483163</v>
      </c>
      <c r="T290" s="32">
        <f t="shared" si="784"/>
        <v>628.7092729010335</v>
      </c>
      <c r="U290" s="32">
        <f t="shared" si="784"/>
        <v>622.60158612087605</v>
      </c>
      <c r="V290" s="32">
        <f t="shared" si="784"/>
        <v>607.56330360543643</v>
      </c>
      <c r="W290" s="32">
        <f t="shared" si="784"/>
        <v>653.84386767334138</v>
      </c>
      <c r="X290" s="32">
        <f t="shared" si="784"/>
        <v>666.57468970789387</v>
      </c>
      <c r="Y290" s="32">
        <f t="shared" si="784"/>
        <v>678.48825571143516</v>
      </c>
      <c r="Z290" s="32">
        <f t="shared" si="784"/>
        <v>781.59572553757948</v>
      </c>
      <c r="AA290" s="8">
        <f t="shared" si="784"/>
        <v>929.84181616197895</v>
      </c>
      <c r="AB290" s="8">
        <f t="shared" si="784"/>
        <v>900.99818964479778</v>
      </c>
      <c r="AC290" s="8">
        <f t="shared" si="784"/>
        <v>870.81757457807009</v>
      </c>
      <c r="AD290" s="8">
        <f t="shared" si="784"/>
        <v>806.23933924402775</v>
      </c>
      <c r="AE290" s="8">
        <f t="shared" si="784"/>
        <v>907.04546742583989</v>
      </c>
      <c r="AF290" s="8">
        <f t="shared" si="784"/>
        <v>911.64192306813482</v>
      </c>
      <c r="AG290" s="8">
        <f t="shared" si="784"/>
        <v>956.58877397972594</v>
      </c>
      <c r="AH290" s="8">
        <f t="shared" si="784"/>
        <v>1093.1905851511979</v>
      </c>
      <c r="AI290" s="8">
        <f t="shared" si="784"/>
        <v>1106.6786835353146</v>
      </c>
      <c r="AJ290" s="8">
        <f t="shared" si="784"/>
        <v>1198.3857546829929</v>
      </c>
      <c r="AK290" s="8">
        <f t="shared" si="784"/>
        <v>1216.7486186376807</v>
      </c>
      <c r="AL290" s="8">
        <f t="shared" si="784"/>
        <v>1356.9188089030968</v>
      </c>
      <c r="AM290" s="8">
        <f t="shared" si="784"/>
        <v>1390.1306298435904</v>
      </c>
      <c r="AN290" s="8">
        <f t="shared" si="784"/>
        <v>1507.9583445002129</v>
      </c>
      <c r="AO290" s="8">
        <f t="shared" si="784"/>
        <v>1730.4396311895175</v>
      </c>
      <c r="AP290" s="8">
        <f t="shared" si="784"/>
        <v>1685.9556109046603</v>
      </c>
      <c r="AQ290" s="8">
        <f t="shared" si="784"/>
        <v>1675.4998722293153</v>
      </c>
      <c r="AR290" s="8">
        <f t="shared" si="784"/>
        <v>1626.9238006513913</v>
      </c>
      <c r="AS290" s="8">
        <f t="shared" si="784"/>
        <v>1642.4196035751047</v>
      </c>
      <c r="AT290" s="8">
        <f t="shared" si="784"/>
        <v>1720.3746020128092</v>
      </c>
      <c r="AU290" s="8">
        <f t="shared" si="784"/>
        <v>1644.9396740932139</v>
      </c>
      <c r="AV290" s="8">
        <f t="shared" si="784"/>
        <v>1440.3244163416443</v>
      </c>
      <c r="AW290" s="8">
        <f t="shared" si="784"/>
        <v>1324.7990698721856</v>
      </c>
      <c r="AX290" s="8">
        <f t="shared" si="784"/>
        <v>1279.0320401442964</v>
      </c>
      <c r="AY290" s="10">
        <f t="shared" si="784"/>
        <v>1303.9547392896798</v>
      </c>
      <c r="AZ290" s="8">
        <f t="shared" si="784"/>
        <v>1285.8838226284486</v>
      </c>
      <c r="BA290" s="8">
        <f t="shared" si="784"/>
        <v>1283.1791205565173</v>
      </c>
      <c r="BB290" s="9">
        <f t="shared" si="784"/>
        <v>1205.1838333605076</v>
      </c>
      <c r="BC290" s="34">
        <f t="shared" si="784"/>
        <v>1221.7119111847912</v>
      </c>
      <c r="BD290" s="32">
        <f t="shared" si="784"/>
        <v>1192.8361596958155</v>
      </c>
      <c r="BE290" s="32">
        <f>+BE289/(32.15074)/(BE301)+1</f>
        <v>1126.3464431580849</v>
      </c>
      <c r="BF290" s="33">
        <f>+BF289/(32.15074)/(BF301)</f>
        <v>1105.5726476583568</v>
      </c>
      <c r="BG290" s="34">
        <f>+BG289/(32.15074)/(BG301)</f>
        <v>1182.4196067761452</v>
      </c>
      <c r="BH290" s="32">
        <f>+BH289/(32.15074)/(BH301)</f>
        <v>1259.8865410277278</v>
      </c>
      <c r="BI290" s="32">
        <f>+BI289/(32.15074)/(BI301)</f>
        <v>1322.2415967286315</v>
      </c>
      <c r="BJ290" s="32">
        <f>+BJ289/(32.15074)/(BJ301)-1</f>
        <v>1211.5025575769394</v>
      </c>
      <c r="BK290" s="213">
        <f t="shared" ref="BK290:BR290" si="785">+BK289/(32.15074)/(BK301)</f>
        <v>1214.9382633256748</v>
      </c>
      <c r="BL290" s="214">
        <f t="shared" si="785"/>
        <v>1249.1139767954787</v>
      </c>
      <c r="BM290" s="214">
        <f t="shared" si="785"/>
        <v>1280.0256271663477</v>
      </c>
      <c r="BN290" s="259">
        <f t="shared" si="785"/>
        <v>1269.4625190483971</v>
      </c>
      <c r="BO290" s="213">
        <f t="shared" si="785"/>
        <v>1320.3882486917464</v>
      </c>
      <c r="BP290" s="214">
        <f t="shared" si="785"/>
        <v>1307.1814410869226</v>
      </c>
      <c r="BQ290" s="214">
        <f t="shared" si="785"/>
        <v>1205.4913113172488</v>
      </c>
      <c r="BR290" s="214">
        <f t="shared" si="785"/>
        <v>1221.0736264495245</v>
      </c>
      <c r="BS290" s="213">
        <f t="shared" ref="BS290:BX290" si="786">+BS289/(32.15074)/(BS301)</f>
        <v>1305.5026576922876</v>
      </c>
      <c r="BT290" s="214">
        <f t="shared" si="786"/>
        <v>1306.696449846228</v>
      </c>
      <c r="BU290" s="214">
        <f t="shared" si="786"/>
        <v>1450.5884305993975</v>
      </c>
      <c r="BV290" s="259">
        <f t="shared" si="786"/>
        <v>1415.2866648467975</v>
      </c>
      <c r="BW290" s="214">
        <f t="shared" si="786"/>
        <v>1608.40803205574</v>
      </c>
      <c r="BX290" s="214">
        <f t="shared" si="786"/>
        <v>1684.9527914018497</v>
      </c>
      <c r="BY290" s="214">
        <f t="shared" ref="BY290:BZ290" si="787">+BY289/(32.15074)/(BY301)</f>
        <v>1844.7713135751062</v>
      </c>
      <c r="BZ290" s="214">
        <f t="shared" si="787"/>
        <v>1857.7227794941134</v>
      </c>
      <c r="CA290" s="213">
        <f t="shared" ref="CA290:CB290" si="788">+CA289/(32.15074)/(CA301)</f>
        <v>1782.0590977556828</v>
      </c>
      <c r="CB290" s="214">
        <f t="shared" si="788"/>
        <v>1806.5290433995292</v>
      </c>
      <c r="CC290" s="214">
        <f t="shared" ref="CC290:CF290" si="789">+CC289/(32.15074)/(CC301)</f>
        <v>1781.1665812368292</v>
      </c>
      <c r="CD290" s="259">
        <f t="shared" si="789"/>
        <v>1784.4019875740544</v>
      </c>
      <c r="CE290" s="213">
        <f t="shared" si="789"/>
        <v>1872.6483503455993</v>
      </c>
      <c r="CF290" s="214">
        <f t="shared" si="789"/>
        <v>1876.6513004300671</v>
      </c>
      <c r="CG290" s="214">
        <f t="shared" ref="CG290:CJ290" si="790">+CG289/(32.15074)/(CG301)</f>
        <v>1722.6696069607167</v>
      </c>
      <c r="CH290" s="259">
        <f t="shared" si="790"/>
        <v>1716.1192284602296</v>
      </c>
      <c r="CI290" s="213">
        <f t="shared" si="790"/>
        <v>1863.9357729997635</v>
      </c>
      <c r="CJ290" s="214">
        <f t="shared" si="790"/>
        <v>1975.1761920810466</v>
      </c>
      <c r="CK290" s="214">
        <f t="shared" ref="CK290:CP290" si="791">+CK289/(32.15074)/(CK301)</f>
        <v>1929.8682322636648</v>
      </c>
      <c r="CL290" s="259">
        <f t="shared" si="791"/>
        <v>1982.2274830674016</v>
      </c>
      <c r="CM290" s="213">
        <f t="shared" si="791"/>
        <v>2068.9571926495082</v>
      </c>
      <c r="CN290" s="214">
        <f t="shared" si="791"/>
        <v>2333.7159477144437</v>
      </c>
      <c r="CO290" s="214">
        <f t="shared" si="791"/>
        <v>2470.0772265404516</v>
      </c>
      <c r="CP290" s="259">
        <f t="shared" si="791"/>
        <v>2646.3514941394519</v>
      </c>
      <c r="CQ290" s="213">
        <f t="shared" ref="CQ290:CT290" si="792">+CQ289/(32.15074)/(CQ301)</f>
        <v>2832.1842104355355</v>
      </c>
      <c r="CR290" s="214">
        <f t="shared" si="792"/>
        <v>3249.1507976188277</v>
      </c>
      <c r="CS290" s="214">
        <f t="shared" si="792"/>
        <v>3402.1480054181898</v>
      </c>
      <c r="CT290" s="259">
        <f t="shared" si="792"/>
        <v>4065.519740674159</v>
      </c>
      <c r="CU290" s="213">
        <f t="shared" ref="CU290:CX290" si="793">+CU289/(32.15074)/(CU301)</f>
        <v>4764.1132814317953</v>
      </c>
      <c r="CV290" s="214">
        <f t="shared" si="793"/>
        <v>4440.0071215501348</v>
      </c>
      <c r="CW290" s="214" t="e">
        <f t="shared" si="793"/>
        <v>#DIV/0!</v>
      </c>
      <c r="CX290" s="259" t="e">
        <f t="shared" si="793"/>
        <v>#DIV/0!</v>
      </c>
    </row>
    <row r="291" spans="1:102" x14ac:dyDescent="0.25">
      <c r="A291" s="225"/>
      <c r="B291" s="227" t="s">
        <v>138</v>
      </c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10"/>
      <c r="AZ291" s="8"/>
      <c r="BA291" s="8"/>
      <c r="BB291" s="9"/>
      <c r="BC291" s="34"/>
      <c r="BD291" s="32"/>
      <c r="BE291" s="32"/>
      <c r="BF291" s="33"/>
      <c r="BG291" s="34"/>
      <c r="BH291" s="32"/>
      <c r="BI291" s="32"/>
      <c r="BJ291" s="32"/>
      <c r="BK291" s="213"/>
      <c r="BL291" s="214"/>
      <c r="BM291" s="214"/>
      <c r="BN291" s="259"/>
      <c r="BO291" s="213">
        <f>(-BO283/BO270)*1000000</f>
        <v>444386.85487428319</v>
      </c>
      <c r="BP291" s="214">
        <f>(-BP283/BP270)*1000000</f>
        <v>454880.6032677</v>
      </c>
      <c r="BQ291" s="214">
        <v>497425</v>
      </c>
      <c r="BR291" s="214">
        <f>(-BR283/BR270)*1000000+18</f>
        <v>539451.2658649839</v>
      </c>
      <c r="BS291" s="213">
        <v>881009</v>
      </c>
      <c r="BT291" s="214">
        <v>753734</v>
      </c>
      <c r="BU291" s="214">
        <v>564709</v>
      </c>
      <c r="BV291" s="259">
        <v>513809</v>
      </c>
      <c r="BW291" s="214">
        <v>634490</v>
      </c>
      <c r="BX291" s="214">
        <v>821829</v>
      </c>
      <c r="BY291" s="214">
        <v>600033</v>
      </c>
      <c r="BZ291" s="214">
        <v>562262</v>
      </c>
      <c r="CA291" s="213">
        <v>659688</v>
      </c>
      <c r="CB291" s="214">
        <v>680348</v>
      </c>
      <c r="CC291" s="214">
        <v>657656</v>
      </c>
      <c r="CD291" s="259">
        <v>681857</v>
      </c>
      <c r="CE291" s="213">
        <v>1048077</v>
      </c>
      <c r="CF291" s="214">
        <v>2214370</v>
      </c>
      <c r="CG291" s="214">
        <v>1036601</v>
      </c>
      <c r="CH291" s="259">
        <v>847268</v>
      </c>
      <c r="CI291" s="213">
        <v>894205</v>
      </c>
      <c r="CJ291" s="214">
        <v>901084</v>
      </c>
      <c r="CK291" s="214">
        <v>1051074</v>
      </c>
      <c r="CL291" s="259">
        <v>972304</v>
      </c>
      <c r="CM291" s="213">
        <v>1097714</v>
      </c>
      <c r="CN291" s="214">
        <v>1061404</v>
      </c>
      <c r="CO291" s="214">
        <v>1113042</v>
      </c>
      <c r="CP291" s="259">
        <v>991474</v>
      </c>
      <c r="CQ291" s="213">
        <v>1281385</v>
      </c>
      <c r="CR291" s="214">
        <v>1216047</v>
      </c>
      <c r="CS291" s="214">
        <v>1163743</v>
      </c>
      <c r="CT291" s="259">
        <v>1273513</v>
      </c>
      <c r="CU291" s="213">
        <v>1464714</v>
      </c>
      <c r="CV291" s="214">
        <v>1402251</v>
      </c>
      <c r="CW291" s="214"/>
      <c r="CX291" s="259"/>
    </row>
    <row r="292" spans="1:102" x14ac:dyDescent="0.25">
      <c r="A292" s="225"/>
      <c r="B292" s="227" t="s">
        <v>139</v>
      </c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10"/>
      <c r="AZ292" s="8"/>
      <c r="BA292" s="8"/>
      <c r="BB292" s="9"/>
      <c r="BC292" s="34"/>
      <c r="BD292" s="32"/>
      <c r="BE292" s="32"/>
      <c r="BF292" s="33"/>
      <c r="BG292" s="34"/>
      <c r="BH292" s="32"/>
      <c r="BI292" s="32"/>
      <c r="BJ292" s="32"/>
      <c r="BK292" s="213"/>
      <c r="BL292" s="214"/>
      <c r="BM292" s="214"/>
      <c r="BN292" s="259"/>
      <c r="BO292" s="213">
        <f t="shared" ref="BO292:BV292" si="794">+BO291/(32.15074)/(BO301)</f>
        <v>1155.6838674528956</v>
      </c>
      <c r="BP292" s="214">
        <f t="shared" si="794"/>
        <v>1118.4483147130877</v>
      </c>
      <c r="BQ292" s="214">
        <f t="shared" si="794"/>
        <v>1101.1850610824924</v>
      </c>
      <c r="BR292" s="214">
        <f t="shared" si="794"/>
        <v>1172.5236450450034</v>
      </c>
      <c r="BS292" s="213">
        <f t="shared" si="794"/>
        <v>1955.9206702789343</v>
      </c>
      <c r="BT292" s="214">
        <f t="shared" si="794"/>
        <v>1629.1697548365487</v>
      </c>
      <c r="BU292" s="214">
        <f t="shared" si="794"/>
        <v>1197.3017633801956</v>
      </c>
      <c r="BV292" s="259">
        <f t="shared" si="794"/>
        <v>1085.6827157754783</v>
      </c>
      <c r="BW292" s="214">
        <f t="shared" ref="BW292:BX292" si="795">+BW291/(32.15074)/(BW301)</f>
        <v>1283.1501317817369</v>
      </c>
      <c r="BX292" s="214">
        <f t="shared" si="795"/>
        <v>1424.0526160175386</v>
      </c>
      <c r="BY292" s="214">
        <f t="shared" ref="BY292:BZ292" si="796">+BY291/(32.15074)/(BY301)</f>
        <v>1103.6733475897599</v>
      </c>
      <c r="BZ292" s="214">
        <f t="shared" si="796"/>
        <v>1120.327139366304</v>
      </c>
      <c r="CA292" s="213">
        <f t="shared" ref="CA292:CB292" si="797">+CA291/(32.15074)/(CA301)</f>
        <v>1371.5638098485531</v>
      </c>
      <c r="CB292" s="214">
        <f t="shared" si="797"/>
        <v>1497.6073996680625</v>
      </c>
      <c r="CC292" s="214">
        <f t="shared" ref="CC292:CF292" si="798">+CC291/(32.15074)/(CC301)</f>
        <v>1398.1812930665806</v>
      </c>
      <c r="CD292" s="259">
        <f t="shared" si="798"/>
        <v>1375.3649619578543</v>
      </c>
      <c r="CE292" s="213">
        <f t="shared" si="798"/>
        <v>2141.8426619113907</v>
      </c>
      <c r="CF292" s="214">
        <f t="shared" si="798"/>
        <v>4417.8717121997797</v>
      </c>
      <c r="CG292" s="214">
        <f t="shared" ref="CG292:CJ292" si="799">+CG291/(32.15074)/(CG301)</f>
        <v>1891.0206300063599</v>
      </c>
      <c r="CH292" s="259">
        <f t="shared" si="799"/>
        <v>1496.4784761775318</v>
      </c>
      <c r="CI292" s="213">
        <f t="shared" si="799"/>
        <v>1566.0411122926137</v>
      </c>
      <c r="CJ292" s="214">
        <f t="shared" si="799"/>
        <v>1501.9748668241027</v>
      </c>
      <c r="CK292" s="214">
        <f t="shared" ref="CK292:CP292" si="800">+CK291/(32.15074)/(CK301)</f>
        <v>1758.5832411676115</v>
      </c>
      <c r="CL292" s="259">
        <f t="shared" si="800"/>
        <v>1621.5571627460038</v>
      </c>
      <c r="CM292" s="213">
        <f t="shared" si="800"/>
        <v>1810.3249685916994</v>
      </c>
      <c r="CN292" s="214">
        <f t="shared" si="800"/>
        <v>1777.77929102281</v>
      </c>
      <c r="CO292" s="214">
        <f t="shared" si="800"/>
        <v>1927.5881457368682</v>
      </c>
      <c r="CP292" s="259">
        <f t="shared" si="800"/>
        <v>1724.7368488416046</v>
      </c>
      <c r="CQ292" s="213">
        <f t="shared" ref="CQ292:CT292" si="801">+CQ291/(32.15074)/(CQ301)</f>
        <v>2156.6848897261821</v>
      </c>
      <c r="CR292" s="214">
        <f t="shared" si="801"/>
        <v>2067.9768933723549</v>
      </c>
      <c r="CS292" s="214">
        <f t="shared" si="801"/>
        <v>2051.9535599126302</v>
      </c>
      <c r="CT292" s="259">
        <f t="shared" si="801"/>
        <v>2315.0607915105975</v>
      </c>
      <c r="CU292" s="213">
        <f t="shared" ref="CU292:CX292" si="802">+CU291/(32.15074)/(CU301)</f>
        <v>2788.1093773195439</v>
      </c>
      <c r="CV292" s="214">
        <f t="shared" si="802"/>
        <v>2646.5346090480298</v>
      </c>
      <c r="CW292" s="214" t="e">
        <f t="shared" si="802"/>
        <v>#DIV/0!</v>
      </c>
      <c r="CX292" s="259" t="e">
        <f t="shared" si="802"/>
        <v>#DIV/0!</v>
      </c>
    </row>
    <row r="293" spans="1:102" ht="15" hidden="1" customHeight="1" x14ac:dyDescent="0.25">
      <c r="A293" s="225"/>
      <c r="B293" s="227" t="s">
        <v>74</v>
      </c>
      <c r="C293" s="32">
        <f t="shared" ref="C293:AV293" si="803">+((C143*C117)+(C92*C66)+(C42*C16))/(C270)</f>
        <v>55845.841941797138</v>
      </c>
      <c r="D293" s="32">
        <f t="shared" si="803"/>
        <v>54201.937185423798</v>
      </c>
      <c r="E293" s="32">
        <f t="shared" si="803"/>
        <v>59088.447737068964</v>
      </c>
      <c r="F293" s="32">
        <f t="shared" si="803"/>
        <v>60363.820711228189</v>
      </c>
      <c r="G293" s="32">
        <f t="shared" si="803"/>
        <v>61993.254852427264</v>
      </c>
      <c r="H293" s="32">
        <f t="shared" si="803"/>
        <v>67326.103754541778</v>
      </c>
      <c r="I293" s="32">
        <f t="shared" si="803"/>
        <v>73468.424622206134</v>
      </c>
      <c r="J293" s="32">
        <f t="shared" si="803"/>
        <v>75053.203232937274</v>
      </c>
      <c r="K293" s="32">
        <f t="shared" si="803"/>
        <v>72951.807019977801</v>
      </c>
      <c r="L293" s="32">
        <f t="shared" si="803"/>
        <v>73033.681170740674</v>
      </c>
      <c r="M293" s="32">
        <f t="shared" si="803"/>
        <v>73263.454244914828</v>
      </c>
      <c r="N293" s="32">
        <f t="shared" si="803"/>
        <v>71949.417238782829</v>
      </c>
      <c r="O293" s="32">
        <f t="shared" si="803"/>
        <v>71581.201346831775</v>
      </c>
      <c r="P293" s="32">
        <f t="shared" si="803"/>
        <v>74611.312652182052</v>
      </c>
      <c r="Q293" s="32">
        <f t="shared" si="803"/>
        <v>79794.977086336294</v>
      </c>
      <c r="R293" s="32">
        <f t="shared" si="803"/>
        <v>76858.492648753279</v>
      </c>
      <c r="S293" s="32">
        <f t="shared" si="803"/>
        <v>81916.12747438575</v>
      </c>
      <c r="T293" s="32">
        <f t="shared" si="803"/>
        <v>82420.563428351685</v>
      </c>
      <c r="U293" s="32">
        <f t="shared" si="803"/>
        <v>77543.013766465287</v>
      </c>
      <c r="V293" s="32">
        <f t="shared" si="803"/>
        <v>82212.698267910222</v>
      </c>
      <c r="W293" s="32">
        <f t="shared" si="803"/>
        <v>88783.277756602227</v>
      </c>
      <c r="X293" s="32">
        <f t="shared" si="803"/>
        <v>86070.267738735449</v>
      </c>
      <c r="Y293" s="32">
        <f t="shared" si="803"/>
        <v>89657.045910897301</v>
      </c>
      <c r="Z293" s="32">
        <f t="shared" si="803"/>
        <v>95825.824912701879</v>
      </c>
      <c r="AA293" s="8">
        <f t="shared" si="803"/>
        <v>117398.69194769443</v>
      </c>
      <c r="AB293" s="8">
        <f t="shared" si="803"/>
        <v>112649.03609500655</v>
      </c>
      <c r="AC293" s="8">
        <f t="shared" si="803"/>
        <v>142649.50543064682</v>
      </c>
      <c r="AD293" s="8">
        <f t="shared" si="803"/>
        <v>145794.66035460992</v>
      </c>
      <c r="AE293" s="8">
        <f t="shared" si="803"/>
        <v>138888.0973402797</v>
      </c>
      <c r="AF293" s="8">
        <f t="shared" si="803"/>
        <v>140895.55612485672</v>
      </c>
      <c r="AG293" s="8">
        <f t="shared" si="803"/>
        <v>160094.644210673</v>
      </c>
      <c r="AH293" s="8">
        <f t="shared" si="803"/>
        <v>162858.11603706345</v>
      </c>
      <c r="AI293" s="8">
        <f t="shared" si="803"/>
        <v>211699.33936737804</v>
      </c>
      <c r="AJ293" s="8">
        <f t="shared" si="803"/>
        <v>185501.64029827798</v>
      </c>
      <c r="AK293" s="8">
        <f t="shared" si="803"/>
        <v>191040.61953242836</v>
      </c>
      <c r="AL293" s="8">
        <f t="shared" si="803"/>
        <v>191460.65748371399</v>
      </c>
      <c r="AM293" s="8">
        <f t="shared" si="803"/>
        <v>212543.89392349517</v>
      </c>
      <c r="AN293" s="8">
        <f t="shared" si="803"/>
        <v>219508.86461858891</v>
      </c>
      <c r="AO293" s="8">
        <f t="shared" si="803"/>
        <v>229399.41696113074</v>
      </c>
      <c r="AP293" s="8">
        <f t="shared" si="803"/>
        <v>218931.28007534891</v>
      </c>
      <c r="AQ293" s="8">
        <f t="shared" si="803"/>
        <v>256595.35249828885</v>
      </c>
      <c r="AR293" s="8">
        <f t="shared" si="803"/>
        <v>249432.02308724832</v>
      </c>
      <c r="AS293" s="8">
        <f t="shared" si="803"/>
        <v>297069.17138204764</v>
      </c>
      <c r="AT293" s="8">
        <f t="shared" si="803"/>
        <v>373093.25838091056</v>
      </c>
      <c r="AU293" s="8">
        <f t="shared" si="803"/>
        <v>306593.90270618559</v>
      </c>
      <c r="AV293" s="8">
        <f t="shared" si="803"/>
        <v>274299.56328258716</v>
      </c>
      <c r="AW293" s="8">
        <f>+((AW143*AW117)+(AW92*AW66)+(AW42*AW16))/(AW270)-1</f>
        <v>262141.72166487025</v>
      </c>
      <c r="AX293" s="8">
        <f>+((AX143*AX117)+(AX92*AX66)+(AX42*AX16))/(AX270)</f>
        <v>257683.39208333334</v>
      </c>
      <c r="AY293" s="10">
        <f>+((AY143*AY117)+(AY92*AY66)+(AY42*AY16))/(AY270)</f>
        <v>289959.44505707099</v>
      </c>
      <c r="AZ293" s="8">
        <f>+((AZ143*AZ117)+(AZ92*AZ66)+(AZ42*AZ16)+(AZ194*AZ168))/(AZ270)</f>
        <v>292308.19584921643</v>
      </c>
      <c r="BA293" s="8">
        <v>312922</v>
      </c>
      <c r="BB293" s="9">
        <f>+((BB143*BB117)+(BB92*BB66)+(BB42*BB16)+(BB194*BB168))/(BB270)</f>
        <v>285006.2431280631</v>
      </c>
      <c r="BC293" s="34">
        <f>+((BC143*BC117)+(BC92*BC66)+(BC42*BC16)+(BC194*BC168))/(BC270)</f>
        <v>384838.76039967372</v>
      </c>
      <c r="BD293" s="32">
        <f>+((BD143*BD117)+(BD92*BD66)+(BD42*BD16)+(BD194*BD168))/(BD270)-8</f>
        <v>335882.50322684739</v>
      </c>
      <c r="BE293" s="32">
        <f>+((BE143*BE117)+(BE92*BE66)+(BE42*BE16)+(BE194*BE168))/(BE270)-105</f>
        <v>348857.3395709364</v>
      </c>
      <c r="BF293" s="33">
        <f>+((BF143*BF117)+(BF92*BF66)+(BF42*BF16)+(BF194*BF168))/(BF270)</f>
        <v>329166.43198687397</v>
      </c>
      <c r="BG293" s="34">
        <f>+((BG143*BG117)+(BG92*BG66)+(BG42*BG16)+(BG194*BG168))/(BG270)-18</f>
        <v>385116.94759825326</v>
      </c>
      <c r="BH293" s="32">
        <f>+((BH143*BH117)+(BH92*BH66)+(BH42*BH16)+(BH194*BH168))/(BH270)+9</f>
        <v>378398.42430046637</v>
      </c>
      <c r="BI293" s="32">
        <f>+((BI143*BI117)+(BI92*BI66)+(BI42*BI16)+(BI194*BI168))/(BI270)+9</f>
        <v>398319.29595696396</v>
      </c>
      <c r="BJ293" s="32">
        <f>+((BJ143*BJ117)+(BJ92*BJ66)+(BJ42*BJ16)+(BJ194*BJ168))/(BJ270)+125</f>
        <v>346438.96825663419</v>
      </c>
      <c r="BK293" s="213">
        <f>+((BK143*BK117)+(BK92*BK66)+(BK42*BK16)+(BK194*BK168))/(BK270)+71</f>
        <v>421308.38369374635</v>
      </c>
      <c r="BL293" s="214">
        <f>+((BL143*BL117)+(BL92*BL66)+(BL42*BL16)+(BL194*BL168))/(BL270)+9</f>
        <v>408940.24802725966</v>
      </c>
      <c r="BM293" s="214">
        <f>+((BM143*BM117)+(BM92*BM66)+(BM42*BM16)+(BM194*BM168))/(BM270)</f>
        <v>401693.44678645476</v>
      </c>
      <c r="BN293" s="215" t="s">
        <v>77</v>
      </c>
      <c r="BO293" s="216" t="s">
        <v>77</v>
      </c>
      <c r="BP293" s="217" t="s">
        <v>77</v>
      </c>
      <c r="BQ293" s="217" t="s">
        <v>77</v>
      </c>
      <c r="BR293" s="217" t="s">
        <v>77</v>
      </c>
      <c r="BS293" s="216" t="s">
        <v>77</v>
      </c>
      <c r="BT293" s="217" t="s">
        <v>77</v>
      </c>
      <c r="BU293" s="217" t="s">
        <v>77</v>
      </c>
      <c r="BV293" s="215" t="s">
        <v>77</v>
      </c>
      <c r="BW293" s="217" t="s">
        <v>77</v>
      </c>
      <c r="BX293" s="217" t="s">
        <v>77</v>
      </c>
      <c r="BY293" s="217" t="s">
        <v>77</v>
      </c>
      <c r="BZ293" s="217" t="s">
        <v>77</v>
      </c>
      <c r="CA293" s="216" t="s">
        <v>77</v>
      </c>
      <c r="CB293" s="217" t="s">
        <v>77</v>
      </c>
      <c r="CC293" s="217" t="s">
        <v>77</v>
      </c>
      <c r="CD293" s="215" t="s">
        <v>77</v>
      </c>
      <c r="CE293" s="216" t="s">
        <v>77</v>
      </c>
      <c r="CF293" s="217" t="s">
        <v>77</v>
      </c>
      <c r="CG293" s="217" t="s">
        <v>77</v>
      </c>
      <c r="CH293" s="215" t="s">
        <v>77</v>
      </c>
      <c r="CI293" s="216" t="s">
        <v>77</v>
      </c>
      <c r="CJ293" s="217" t="s">
        <v>77</v>
      </c>
      <c r="CK293" s="217" t="s">
        <v>77</v>
      </c>
      <c r="CL293" s="215" t="s">
        <v>77</v>
      </c>
      <c r="CM293" s="216"/>
      <c r="CN293" s="217"/>
      <c r="CO293" s="217"/>
      <c r="CP293" s="215"/>
      <c r="CQ293" s="216"/>
      <c r="CR293" s="217"/>
      <c r="CS293" s="217"/>
      <c r="CT293" s="215"/>
      <c r="CU293" s="216"/>
      <c r="CV293" s="217"/>
      <c r="CW293" s="217"/>
      <c r="CX293" s="215"/>
    </row>
    <row r="294" spans="1:102" ht="15" hidden="1" customHeight="1" x14ac:dyDescent="0.25">
      <c r="A294" s="225"/>
      <c r="B294" s="227" t="s">
        <v>75</v>
      </c>
      <c r="C294" s="32">
        <f>+C293/(32.15074)/(C301)</f>
        <v>150.65049471767102</v>
      </c>
      <c r="D294" s="32">
        <f t="shared" ref="D294:BH294" si="804">+D293/(32.15074)/(D301)</f>
        <v>160.40618841075317</v>
      </c>
      <c r="E294" s="32">
        <f t="shared" si="804"/>
        <v>177.05747002169571</v>
      </c>
      <c r="F294" s="32">
        <f t="shared" si="804"/>
        <v>192.17247498903558</v>
      </c>
      <c r="G294" s="32">
        <f t="shared" si="804"/>
        <v>230.09620023929574</v>
      </c>
      <c r="H294" s="32">
        <f t="shared" si="804"/>
        <v>270.55249793263414</v>
      </c>
      <c r="I294" s="32">
        <f t="shared" si="804"/>
        <v>307.14031016620044</v>
      </c>
      <c r="J294" s="32">
        <f t="shared" si="804"/>
        <v>345.3278169318462</v>
      </c>
      <c r="K294" s="32">
        <f t="shared" si="804"/>
        <v>334.17603840179964</v>
      </c>
      <c r="L294" s="32">
        <f t="shared" si="804"/>
        <v>344.18210182079923</v>
      </c>
      <c r="M294" s="32">
        <f t="shared" si="804"/>
        <v>358.29380738352921</v>
      </c>
      <c r="N294" s="32">
        <f t="shared" si="804"/>
        <v>365.66625605791074</v>
      </c>
      <c r="O294" s="32">
        <f t="shared" si="804"/>
        <v>374.18902357677882</v>
      </c>
      <c r="P294" s="32">
        <f t="shared" si="804"/>
        <v>363.17241098975825</v>
      </c>
      <c r="Q294" s="32">
        <f t="shared" si="804"/>
        <v>380.65977386989351</v>
      </c>
      <c r="R294" s="32">
        <f t="shared" si="804"/>
        <v>366.08986698214511</v>
      </c>
      <c r="S294" s="32">
        <f t="shared" si="804"/>
        <v>414.96366302848725</v>
      </c>
      <c r="T294" s="32">
        <f t="shared" si="804"/>
        <v>401.184132424366</v>
      </c>
      <c r="U294" s="32">
        <f t="shared" si="804"/>
        <v>339.69828485171479</v>
      </c>
      <c r="V294" s="32">
        <f t="shared" si="804"/>
        <v>346.49068776090326</v>
      </c>
      <c r="W294" s="32">
        <f t="shared" si="804"/>
        <v>383.00543469048296</v>
      </c>
      <c r="X294" s="32">
        <f t="shared" si="804"/>
        <v>377.58605398155521</v>
      </c>
      <c r="Y294" s="32">
        <f t="shared" si="804"/>
        <v>392.76710101219459</v>
      </c>
      <c r="Z294" s="32">
        <f t="shared" si="804"/>
        <v>440.90487144290807</v>
      </c>
      <c r="AA294" s="8">
        <f t="shared" si="804"/>
        <v>490.13533387580776</v>
      </c>
      <c r="AB294" s="8">
        <f t="shared" si="804"/>
        <v>450.93660187519129</v>
      </c>
      <c r="AC294" s="8">
        <f t="shared" si="804"/>
        <v>573.24244046296565</v>
      </c>
      <c r="AD294" s="8">
        <f t="shared" si="804"/>
        <v>461.7842935213493</v>
      </c>
      <c r="AE294" s="8">
        <f t="shared" si="804"/>
        <v>435.03560886271919</v>
      </c>
      <c r="AF294" s="8">
        <f t="shared" si="804"/>
        <v>511.95590613277761</v>
      </c>
      <c r="AG294" s="8">
        <f t="shared" si="804"/>
        <v>636.76484262898771</v>
      </c>
      <c r="AH294" s="8">
        <f t="shared" si="804"/>
        <v>676.29568341244442</v>
      </c>
      <c r="AI294" s="8">
        <f t="shared" si="804"/>
        <v>877.94491144891447</v>
      </c>
      <c r="AJ294" s="8">
        <f t="shared" si="804"/>
        <v>768.27525222105646</v>
      </c>
      <c r="AK294" s="8">
        <f t="shared" si="804"/>
        <v>807.34085482113676</v>
      </c>
      <c r="AL294" s="8">
        <f t="shared" si="804"/>
        <v>860.56262063955194</v>
      </c>
      <c r="AM294" s="8">
        <f t="shared" si="804"/>
        <v>947.11395763269945</v>
      </c>
      <c r="AN294" s="8">
        <f t="shared" si="804"/>
        <v>1007.0044650389119</v>
      </c>
      <c r="AO294" s="8">
        <f t="shared" si="804"/>
        <v>1012.0738866865818</v>
      </c>
      <c r="AP294" s="8">
        <f t="shared" si="804"/>
        <v>842.76304230851031</v>
      </c>
      <c r="AQ294" s="8">
        <f t="shared" si="804"/>
        <v>1027.1569142851663</v>
      </c>
      <c r="AR294" s="8">
        <f t="shared" si="804"/>
        <v>962.55641790671586</v>
      </c>
      <c r="AS294" s="8">
        <f t="shared" si="804"/>
        <v>1118.6302624517771</v>
      </c>
      <c r="AT294" s="8">
        <f t="shared" si="804"/>
        <v>1338.4659604578503</v>
      </c>
      <c r="AU294" s="8">
        <f t="shared" si="804"/>
        <v>1072.6814722322506</v>
      </c>
      <c r="AV294" s="8">
        <f t="shared" si="804"/>
        <v>906.66013240082839</v>
      </c>
      <c r="AW294" s="8">
        <f t="shared" si="804"/>
        <v>816.98603446273114</v>
      </c>
      <c r="AX294" s="8">
        <f t="shared" si="804"/>
        <v>792.76469286852443</v>
      </c>
      <c r="AY294" s="10">
        <f t="shared" si="804"/>
        <v>833.52575922998983</v>
      </c>
      <c r="AZ294" s="8">
        <f t="shared" si="804"/>
        <v>863.4190926463906</v>
      </c>
      <c r="BA294" s="8">
        <f t="shared" si="804"/>
        <v>907.9257607951439</v>
      </c>
      <c r="BB294" s="9">
        <f t="shared" si="804"/>
        <v>791.48990018820916</v>
      </c>
      <c r="BC294" s="34">
        <f t="shared" si="804"/>
        <v>1023.0620428507045</v>
      </c>
      <c r="BD294" s="32">
        <f t="shared" si="804"/>
        <v>865.54397523304158</v>
      </c>
      <c r="BE294" s="32">
        <f t="shared" si="804"/>
        <v>834.66756805582418</v>
      </c>
      <c r="BF294" s="33">
        <f t="shared" si="804"/>
        <v>720.49419932334774</v>
      </c>
      <c r="BG294" s="34">
        <f t="shared" si="804"/>
        <v>758.61168411640949</v>
      </c>
      <c r="BH294" s="32">
        <f t="shared" si="804"/>
        <v>786.2063470929304</v>
      </c>
      <c r="BI294" s="32">
        <f>+BI293/(32.15074)/(BI301)</f>
        <v>881.16056272939363</v>
      </c>
      <c r="BJ294" s="32">
        <f>+BJ293/(32.15074)/(BJ301)</f>
        <v>776.3298712744662</v>
      </c>
      <c r="BK294" s="213">
        <f>+BK293/(32.15074)/(BK301)</f>
        <v>991.98775284915905</v>
      </c>
      <c r="BL294" s="214">
        <f>+BL293/(32.15074)/(BL301)</f>
        <v>963.59591786213775</v>
      </c>
      <c r="BM294" s="214">
        <f>+BM293/(32.15074)/(BM301)</f>
        <v>947.95640026264346</v>
      </c>
      <c r="BN294" s="215" t="s">
        <v>77</v>
      </c>
      <c r="BO294" s="216" t="s">
        <v>77</v>
      </c>
      <c r="BP294" s="217" t="s">
        <v>77</v>
      </c>
      <c r="BQ294" s="217" t="s">
        <v>77</v>
      </c>
      <c r="BR294" s="217" t="s">
        <v>77</v>
      </c>
      <c r="BS294" s="216" t="s">
        <v>77</v>
      </c>
      <c r="BT294" s="217" t="s">
        <v>77</v>
      </c>
      <c r="BU294" s="217" t="s">
        <v>77</v>
      </c>
      <c r="BV294" s="215" t="s">
        <v>77</v>
      </c>
      <c r="BW294" s="217" t="s">
        <v>77</v>
      </c>
      <c r="BX294" s="217" t="s">
        <v>77</v>
      </c>
      <c r="BY294" s="217" t="s">
        <v>77</v>
      </c>
      <c r="BZ294" s="217" t="s">
        <v>77</v>
      </c>
      <c r="CA294" s="216" t="s">
        <v>77</v>
      </c>
      <c r="CB294" s="217" t="s">
        <v>77</v>
      </c>
      <c r="CC294" s="217" t="s">
        <v>77</v>
      </c>
      <c r="CD294" s="215" t="s">
        <v>77</v>
      </c>
      <c r="CE294" s="216" t="s">
        <v>77</v>
      </c>
      <c r="CF294" s="217" t="s">
        <v>77</v>
      </c>
      <c r="CG294" s="217" t="s">
        <v>77</v>
      </c>
      <c r="CH294" s="215" t="s">
        <v>77</v>
      </c>
      <c r="CI294" s="216" t="s">
        <v>77</v>
      </c>
      <c r="CJ294" s="217" t="s">
        <v>77</v>
      </c>
      <c r="CK294" s="217" t="s">
        <v>77</v>
      </c>
      <c r="CL294" s="215" t="s">
        <v>77</v>
      </c>
      <c r="CM294" s="216"/>
      <c r="CN294" s="217"/>
      <c r="CO294" s="217"/>
      <c r="CP294" s="215"/>
      <c r="CQ294" s="216"/>
      <c r="CR294" s="217"/>
      <c r="CS294" s="217"/>
      <c r="CT294" s="215"/>
      <c r="CU294" s="216"/>
      <c r="CV294" s="217"/>
      <c r="CW294" s="217"/>
      <c r="CX294" s="215"/>
    </row>
    <row r="295" spans="1:102" ht="15" hidden="1" customHeight="1" x14ac:dyDescent="0.25">
      <c r="A295" s="225"/>
      <c r="B295" s="227" t="s">
        <v>76</v>
      </c>
      <c r="C295" s="32">
        <f t="shared" ref="C295:AW295" si="805">+((-C283+C279)*1000000)/(C270)</f>
        <v>66363.172226004084</v>
      </c>
      <c r="D295" s="32">
        <f t="shared" si="805"/>
        <v>66390.1751560298</v>
      </c>
      <c r="E295" s="32">
        <f t="shared" si="805"/>
        <v>77051.558355437664</v>
      </c>
      <c r="F295" s="32">
        <f t="shared" si="805"/>
        <v>77889.36450444517</v>
      </c>
      <c r="G295" s="32">
        <f t="shared" si="805"/>
        <v>78127.236747926407</v>
      </c>
      <c r="H295" s="32">
        <f t="shared" si="805"/>
        <v>89422.68873637465</v>
      </c>
      <c r="I295" s="32">
        <f t="shared" si="805"/>
        <v>89331.282236901636</v>
      </c>
      <c r="J295" s="32">
        <f t="shared" si="805"/>
        <v>89900.525006907992</v>
      </c>
      <c r="K295" s="32">
        <f t="shared" si="805"/>
        <v>83078.986311505752</v>
      </c>
      <c r="L295" s="32">
        <f t="shared" si="805"/>
        <v>84423.819150891373</v>
      </c>
      <c r="M295" s="32">
        <f t="shared" si="805"/>
        <v>83176.454382662181</v>
      </c>
      <c r="N295" s="32">
        <f t="shared" si="805"/>
        <v>81963.945608362497</v>
      </c>
      <c r="O295" s="32">
        <f t="shared" si="805"/>
        <v>81320.61827714002</v>
      </c>
      <c r="P295" s="32">
        <f t="shared" si="805"/>
        <v>85905.600299681595</v>
      </c>
      <c r="Q295" s="32">
        <f t="shared" si="805"/>
        <v>89716.188677369646</v>
      </c>
      <c r="R295" s="32">
        <f t="shared" si="805"/>
        <v>87606.581555053694</v>
      </c>
      <c r="S295" s="32">
        <f t="shared" si="805"/>
        <v>92967.273450711233</v>
      </c>
      <c r="T295" s="32">
        <f t="shared" si="805"/>
        <v>96308.2247752728</v>
      </c>
      <c r="U295" s="32">
        <f t="shared" si="805"/>
        <v>102837.47647816181</v>
      </c>
      <c r="V295" s="32">
        <f t="shared" si="805"/>
        <v>113041.91862252742</v>
      </c>
      <c r="W295" s="32">
        <f t="shared" si="805"/>
        <v>120942.00925673835</v>
      </c>
      <c r="X295" s="32">
        <f t="shared" si="805"/>
        <v>127301.20607737692</v>
      </c>
      <c r="Y295" s="32">
        <f t="shared" si="805"/>
        <v>123938.5065885798</v>
      </c>
      <c r="Z295" s="32">
        <f t="shared" si="805"/>
        <v>135743.12527280665</v>
      </c>
      <c r="AA295" s="8">
        <f t="shared" si="805"/>
        <v>164342.73916035789</v>
      </c>
      <c r="AB295" s="8">
        <f t="shared" si="805"/>
        <v>161579.70201359017</v>
      </c>
      <c r="AC295" s="8">
        <f t="shared" si="805"/>
        <v>191214.11276374958</v>
      </c>
      <c r="AD295" s="8">
        <f t="shared" si="805"/>
        <v>198851.06382978719</v>
      </c>
      <c r="AE295" s="8">
        <f t="shared" si="805"/>
        <v>189381.68357554157</v>
      </c>
      <c r="AF295" s="8">
        <f t="shared" si="805"/>
        <v>198462.88680644508</v>
      </c>
      <c r="AG295" s="8">
        <f t="shared" si="805"/>
        <v>212888.39347916955</v>
      </c>
      <c r="AH295" s="8">
        <f t="shared" si="805"/>
        <v>220049.89308624377</v>
      </c>
      <c r="AI295" s="8">
        <f t="shared" si="805"/>
        <v>284575.07621951215</v>
      </c>
      <c r="AJ295" s="8">
        <f t="shared" si="805"/>
        <v>253221.09471094707</v>
      </c>
      <c r="AK295" s="8">
        <f t="shared" si="805"/>
        <v>256432.88084464555</v>
      </c>
      <c r="AL295" s="8">
        <f t="shared" si="805"/>
        <v>252201.55403814456</v>
      </c>
      <c r="AM295" s="8">
        <f t="shared" si="805"/>
        <v>272250.31002575601</v>
      </c>
      <c r="AN295" s="8">
        <f t="shared" si="805"/>
        <v>280985.85437820014</v>
      </c>
      <c r="AO295" s="8">
        <f t="shared" si="805"/>
        <v>296342.75618374551</v>
      </c>
      <c r="AP295" s="8">
        <f t="shared" si="805"/>
        <v>284801.78097439854</v>
      </c>
      <c r="AQ295" s="8">
        <f t="shared" si="805"/>
        <v>319086.73120172095</v>
      </c>
      <c r="AR295" s="8">
        <f t="shared" si="805"/>
        <v>319257.27069351228</v>
      </c>
      <c r="AS295" s="8">
        <f t="shared" si="805"/>
        <v>384876.85731732141</v>
      </c>
      <c r="AT295" s="8">
        <f t="shared" si="805"/>
        <v>489708.68101302889</v>
      </c>
      <c r="AU295" s="8">
        <f t="shared" si="805"/>
        <v>380444.58762886602</v>
      </c>
      <c r="AV295" s="8">
        <f t="shared" si="805"/>
        <v>339663.09341500769</v>
      </c>
      <c r="AW295" s="8">
        <f t="shared" si="805"/>
        <v>317759.72141613462</v>
      </c>
      <c r="AX295" s="8">
        <v>314175</v>
      </c>
      <c r="AY295" s="10" t="s">
        <v>77</v>
      </c>
      <c r="AZ295" s="8" t="s">
        <v>77</v>
      </c>
      <c r="BA295" s="8" t="s">
        <v>77</v>
      </c>
      <c r="BB295" s="9" t="s">
        <v>77</v>
      </c>
      <c r="BC295" s="34" t="s">
        <v>77</v>
      </c>
      <c r="BD295" s="32" t="s">
        <v>77</v>
      </c>
      <c r="BE295" s="32" t="s">
        <v>77</v>
      </c>
      <c r="BF295" s="33" t="s">
        <v>77</v>
      </c>
      <c r="BG295" s="34" t="s">
        <v>77</v>
      </c>
      <c r="BH295" s="32" t="s">
        <v>77</v>
      </c>
      <c r="BI295" s="32" t="s">
        <v>77</v>
      </c>
      <c r="BJ295" s="32" t="s">
        <v>77</v>
      </c>
      <c r="BK295" s="216" t="s">
        <v>77</v>
      </c>
      <c r="BL295" s="217" t="s">
        <v>77</v>
      </c>
      <c r="BM295" s="217" t="s">
        <v>77</v>
      </c>
      <c r="BN295" s="217" t="s">
        <v>77</v>
      </c>
      <c r="BO295" s="216" t="s">
        <v>77</v>
      </c>
      <c r="BP295" s="217" t="s">
        <v>77</v>
      </c>
      <c r="BQ295" s="217" t="s">
        <v>77</v>
      </c>
      <c r="BR295" s="217" t="s">
        <v>77</v>
      </c>
      <c r="BS295" s="216" t="s">
        <v>77</v>
      </c>
      <c r="BT295" s="217" t="s">
        <v>77</v>
      </c>
      <c r="BU295" s="217" t="s">
        <v>77</v>
      </c>
      <c r="BV295" s="215" t="s">
        <v>77</v>
      </c>
      <c r="BW295" s="217" t="s">
        <v>77</v>
      </c>
      <c r="BX295" s="217" t="s">
        <v>77</v>
      </c>
      <c r="BY295" s="217" t="s">
        <v>77</v>
      </c>
      <c r="BZ295" s="217" t="s">
        <v>77</v>
      </c>
      <c r="CA295" s="216" t="s">
        <v>77</v>
      </c>
      <c r="CB295" s="217" t="s">
        <v>77</v>
      </c>
      <c r="CC295" s="217" t="s">
        <v>77</v>
      </c>
      <c r="CD295" s="215" t="s">
        <v>77</v>
      </c>
      <c r="CE295" s="216" t="s">
        <v>77</v>
      </c>
      <c r="CF295" s="217" t="s">
        <v>77</v>
      </c>
      <c r="CG295" s="217" t="s">
        <v>77</v>
      </c>
      <c r="CH295" s="215" t="s">
        <v>77</v>
      </c>
      <c r="CI295" s="216" t="s">
        <v>77</v>
      </c>
      <c r="CJ295" s="217" t="s">
        <v>77</v>
      </c>
      <c r="CK295" s="217" t="s">
        <v>77</v>
      </c>
      <c r="CL295" s="215" t="s">
        <v>77</v>
      </c>
      <c r="CM295" s="216"/>
      <c r="CN295" s="217"/>
      <c r="CO295" s="217"/>
      <c r="CP295" s="215"/>
      <c r="CQ295" s="216"/>
      <c r="CR295" s="217"/>
      <c r="CS295" s="217"/>
      <c r="CT295" s="215"/>
      <c r="CU295" s="216"/>
      <c r="CV295" s="217"/>
      <c r="CW295" s="217"/>
      <c r="CX295" s="215"/>
    </row>
    <row r="296" spans="1:102" ht="15" hidden="1" customHeight="1" x14ac:dyDescent="0.25">
      <c r="A296" s="225"/>
      <c r="B296" s="227" t="s">
        <v>78</v>
      </c>
      <c r="C296" s="32">
        <f>+C295/(32.15074)/(C301)</f>
        <v>179.0221864199151</v>
      </c>
      <c r="D296" s="32">
        <f t="shared" ref="D296:AX296" si="806">+D295/(32.15074)/(D301)</f>
        <v>196.476279219867</v>
      </c>
      <c r="E296" s="32">
        <f t="shared" si="806"/>
        <v>230.88360764441316</v>
      </c>
      <c r="F296" s="32">
        <f t="shared" si="806"/>
        <v>247.96627807487596</v>
      </c>
      <c r="G296" s="32">
        <f t="shared" si="806"/>
        <v>289.9796171968519</v>
      </c>
      <c r="H296" s="32">
        <f t="shared" si="806"/>
        <v>359.34846159646526</v>
      </c>
      <c r="I296" s="32">
        <f t="shared" si="806"/>
        <v>373.45618712903968</v>
      </c>
      <c r="J296" s="32">
        <f t="shared" si="806"/>
        <v>413.64193271418088</v>
      </c>
      <c r="K296" s="32">
        <f t="shared" si="806"/>
        <v>380.56639929993025</v>
      </c>
      <c r="L296" s="32">
        <f t="shared" si="806"/>
        <v>397.85982375942382</v>
      </c>
      <c r="M296" s="32">
        <f t="shared" si="806"/>
        <v>406.77318360941166</v>
      </c>
      <c r="N296" s="32">
        <f t="shared" si="806"/>
        <v>416.56277802606945</v>
      </c>
      <c r="O296" s="32">
        <f t="shared" si="806"/>
        <v>425.10159339662715</v>
      </c>
      <c r="P296" s="32">
        <f t="shared" si="806"/>
        <v>418.14763565140743</v>
      </c>
      <c r="Q296" s="32">
        <f t="shared" si="806"/>
        <v>427.98864466675985</v>
      </c>
      <c r="R296" s="32">
        <f t="shared" si="806"/>
        <v>417.28481372670132</v>
      </c>
      <c r="S296" s="32">
        <f t="shared" si="806"/>
        <v>470.94560646731122</v>
      </c>
      <c r="T296" s="32">
        <f t="shared" si="806"/>
        <v>468.78266775482717</v>
      </c>
      <c r="U296" s="32">
        <f t="shared" si="806"/>
        <v>450.50756581784776</v>
      </c>
      <c r="V296" s="32">
        <f t="shared" si="806"/>
        <v>476.42241350226874</v>
      </c>
      <c r="W296" s="32">
        <f t="shared" si="806"/>
        <v>521.73616471681646</v>
      </c>
      <c r="X296" s="32">
        <f t="shared" si="806"/>
        <v>558.46416344092734</v>
      </c>
      <c r="Y296" s="32">
        <f t="shared" si="806"/>
        <v>542.94637350594007</v>
      </c>
      <c r="Z296" s="32">
        <f t="shared" si="806"/>
        <v>624.56864057459507</v>
      </c>
      <c r="AA296" s="8">
        <f t="shared" si="806"/>
        <v>686.12504953900986</v>
      </c>
      <c r="AB296" s="8">
        <f t="shared" si="806"/>
        <v>646.8071479685226</v>
      </c>
      <c r="AC296" s="8">
        <f t="shared" si="806"/>
        <v>768.40115442912338</v>
      </c>
      <c r="AD296" s="8">
        <f t="shared" si="806"/>
        <v>629.83306661068355</v>
      </c>
      <c r="AE296" s="8">
        <f t="shared" si="806"/>
        <v>593.19536806584813</v>
      </c>
      <c r="AF296" s="8">
        <f t="shared" si="806"/>
        <v>721.13166549186496</v>
      </c>
      <c r="AG296" s="8">
        <f t="shared" si="806"/>
        <v>846.74815350421363</v>
      </c>
      <c r="AH296" s="8">
        <f t="shared" si="806"/>
        <v>913.79414456524978</v>
      </c>
      <c r="AI296" s="8">
        <f t="shared" si="806"/>
        <v>1180.1701452574639</v>
      </c>
      <c r="AJ296" s="8">
        <f t="shared" si="806"/>
        <v>1048.7427501661332</v>
      </c>
      <c r="AK296" s="8">
        <f t="shared" si="806"/>
        <v>1083.6896453333609</v>
      </c>
      <c r="AL296" s="8">
        <f t="shared" si="806"/>
        <v>1133.5761253765395</v>
      </c>
      <c r="AM296" s="8">
        <f t="shared" si="806"/>
        <v>1213.1709071258317</v>
      </c>
      <c r="AN296" s="8">
        <f t="shared" si="806"/>
        <v>1289.0322696683445</v>
      </c>
      <c r="AO296" s="8">
        <f t="shared" si="806"/>
        <v>1307.4172943217013</v>
      </c>
      <c r="AP296" s="8">
        <f t="shared" si="806"/>
        <v>1096.3276481380781</v>
      </c>
      <c r="AQ296" s="8">
        <f t="shared" si="806"/>
        <v>1277.3112958571051</v>
      </c>
      <c r="AR296" s="8">
        <f t="shared" si="806"/>
        <v>1232.0115559577969</v>
      </c>
      <c r="AS296" s="8">
        <f t="shared" si="806"/>
        <v>1449.2749210883223</v>
      </c>
      <c r="AT296" s="8">
        <f t="shared" si="806"/>
        <v>1756.8218812666371</v>
      </c>
      <c r="AU296" s="8">
        <f t="shared" si="806"/>
        <v>1331.0631971426028</v>
      </c>
      <c r="AV296" s="8">
        <f t="shared" si="806"/>
        <v>1122.7104467901113</v>
      </c>
      <c r="AW296" s="8">
        <f t="shared" si="806"/>
        <v>990.32406235447354</v>
      </c>
      <c r="AX296" s="8">
        <f t="shared" si="806"/>
        <v>966.5615054517051</v>
      </c>
      <c r="AY296" s="10" t="s">
        <v>77</v>
      </c>
      <c r="AZ296" s="8" t="s">
        <v>77</v>
      </c>
      <c r="BA296" s="8" t="s">
        <v>77</v>
      </c>
      <c r="BB296" s="9" t="s">
        <v>77</v>
      </c>
      <c r="BC296" s="34" t="s">
        <v>77</v>
      </c>
      <c r="BD296" s="32" t="s">
        <v>77</v>
      </c>
      <c r="BE296" s="32" t="s">
        <v>77</v>
      </c>
      <c r="BF296" s="33" t="s">
        <v>77</v>
      </c>
      <c r="BG296" s="34" t="s">
        <v>77</v>
      </c>
      <c r="BH296" s="32" t="s">
        <v>77</v>
      </c>
      <c r="BI296" s="32" t="s">
        <v>77</v>
      </c>
      <c r="BJ296" s="32" t="s">
        <v>77</v>
      </c>
      <c r="BK296" s="216" t="s">
        <v>77</v>
      </c>
      <c r="BL296" s="217" t="s">
        <v>77</v>
      </c>
      <c r="BM296" s="217" t="s">
        <v>77</v>
      </c>
      <c r="BN296" s="217" t="s">
        <v>77</v>
      </c>
      <c r="BO296" s="216" t="s">
        <v>77</v>
      </c>
      <c r="BP296" s="217" t="s">
        <v>77</v>
      </c>
      <c r="BQ296" s="217" t="s">
        <v>77</v>
      </c>
      <c r="BR296" s="217" t="s">
        <v>77</v>
      </c>
      <c r="BS296" s="216" t="s">
        <v>77</v>
      </c>
      <c r="BT296" s="217" t="s">
        <v>77</v>
      </c>
      <c r="BU296" s="217" t="s">
        <v>77</v>
      </c>
      <c r="BV296" s="215" t="s">
        <v>77</v>
      </c>
      <c r="BW296" s="217" t="s">
        <v>77</v>
      </c>
      <c r="BX296" s="217" t="s">
        <v>77</v>
      </c>
      <c r="BY296" s="217" t="s">
        <v>77</v>
      </c>
      <c r="BZ296" s="217" t="s">
        <v>77</v>
      </c>
      <c r="CA296" s="216" t="s">
        <v>77</v>
      </c>
      <c r="CB296" s="217" t="s">
        <v>77</v>
      </c>
      <c r="CC296" s="217" t="s">
        <v>77</v>
      </c>
      <c r="CD296" s="215" t="s">
        <v>77</v>
      </c>
      <c r="CE296" s="216" t="s">
        <v>77</v>
      </c>
      <c r="CF296" s="217" t="s">
        <v>77</v>
      </c>
      <c r="CG296" s="217" t="s">
        <v>77</v>
      </c>
      <c r="CH296" s="215" t="s">
        <v>77</v>
      </c>
      <c r="CI296" s="216" t="s">
        <v>77</v>
      </c>
      <c r="CJ296" s="217" t="s">
        <v>77</v>
      </c>
      <c r="CK296" s="217" t="s">
        <v>77</v>
      </c>
      <c r="CL296" s="215" t="s">
        <v>77</v>
      </c>
      <c r="CM296" s="216"/>
      <c r="CN296" s="217"/>
      <c r="CO296" s="217"/>
      <c r="CP296" s="215"/>
      <c r="CQ296" s="216"/>
      <c r="CR296" s="217"/>
      <c r="CS296" s="217"/>
      <c r="CT296" s="215"/>
      <c r="CU296" s="216"/>
      <c r="CV296" s="217"/>
      <c r="CW296" s="217"/>
      <c r="CX296" s="215"/>
    </row>
    <row r="297" spans="1:102" x14ac:dyDescent="0.25">
      <c r="A297" s="225"/>
      <c r="B297" s="227" t="s">
        <v>79</v>
      </c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3"/>
      <c r="AB297" s="183"/>
      <c r="AC297" s="183"/>
      <c r="AD297" s="183"/>
      <c r="AE297" s="183"/>
      <c r="AF297" s="183"/>
      <c r="AG297" s="183"/>
      <c r="AH297" s="183"/>
      <c r="AI297" s="183"/>
      <c r="AJ297" s="183"/>
      <c r="AK297" s="183"/>
      <c r="AL297" s="183"/>
      <c r="AM297" s="925">
        <v>296531</v>
      </c>
      <c r="AN297" s="925"/>
      <c r="AO297" s="925"/>
      <c r="AP297" s="925"/>
      <c r="AQ297" s="8">
        <v>336581</v>
      </c>
      <c r="AR297" s="8">
        <v>336581</v>
      </c>
      <c r="AS297" s="8">
        <v>441940</v>
      </c>
      <c r="AT297" s="8">
        <v>441940</v>
      </c>
      <c r="AU297" s="8">
        <v>399495</v>
      </c>
      <c r="AV297" s="8">
        <v>354518</v>
      </c>
      <c r="AW297" s="8">
        <v>339847</v>
      </c>
      <c r="AX297" s="8">
        <v>333833</v>
      </c>
      <c r="AY297" s="10">
        <v>364877</v>
      </c>
      <c r="AZ297" s="8">
        <v>363736</v>
      </c>
      <c r="BA297" s="8">
        <v>384877</v>
      </c>
      <c r="BB297" s="9">
        <v>365076</v>
      </c>
      <c r="BC297" s="34">
        <v>467302</v>
      </c>
      <c r="BD297" s="32">
        <v>409027</v>
      </c>
      <c r="BE297" s="32">
        <v>420811</v>
      </c>
      <c r="BF297" s="33">
        <v>402797</v>
      </c>
      <c r="BG297" s="34">
        <v>454282</v>
      </c>
      <c r="BH297" s="32">
        <v>443912</v>
      </c>
      <c r="BI297" s="32">
        <v>479785</v>
      </c>
      <c r="BJ297" s="32">
        <v>427091</v>
      </c>
      <c r="BK297" s="213">
        <v>493872</v>
      </c>
      <c r="BL297" s="214">
        <v>477600</v>
      </c>
      <c r="BM297" s="214">
        <v>487068</v>
      </c>
      <c r="BN297" s="259">
        <v>472293</v>
      </c>
      <c r="BO297" s="213">
        <v>513829</v>
      </c>
      <c r="BP297" s="214">
        <v>526833</v>
      </c>
      <c r="BQ297" s="214">
        <v>582809</v>
      </c>
      <c r="BR297" s="214">
        <v>610883</v>
      </c>
      <c r="BS297" s="213">
        <v>914590</v>
      </c>
      <c r="BT297" s="214">
        <v>834216</v>
      </c>
      <c r="BU297" s="214">
        <v>653666</v>
      </c>
      <c r="BV297" s="259">
        <v>621943</v>
      </c>
      <c r="BW297" s="214">
        <v>741858</v>
      </c>
      <c r="BX297" s="214">
        <v>890444</v>
      </c>
      <c r="BY297" s="214">
        <v>715345</v>
      </c>
      <c r="BZ297" s="214">
        <v>693574</v>
      </c>
      <c r="CA297" s="213">
        <v>772572</v>
      </c>
      <c r="CB297" s="214">
        <v>807623</v>
      </c>
      <c r="CC297" s="214">
        <v>796008</v>
      </c>
      <c r="CD297" s="259">
        <v>833848</v>
      </c>
      <c r="CE297" s="213">
        <v>1183944</v>
      </c>
      <c r="CF297" s="214">
        <v>2522190</v>
      </c>
      <c r="CG297" s="214">
        <v>1210049</v>
      </c>
      <c r="CH297" s="259">
        <v>1041218</v>
      </c>
      <c r="CI297" s="213">
        <v>1042868</v>
      </c>
      <c r="CJ297" s="214">
        <v>1080135</v>
      </c>
      <c r="CK297" s="214">
        <v>1232600</v>
      </c>
      <c r="CL297" s="259">
        <v>1168690</v>
      </c>
      <c r="CM297" s="213">
        <v>1236571</v>
      </c>
      <c r="CN297" s="214">
        <v>1263292</v>
      </c>
      <c r="CO297" s="214">
        <v>1298923</v>
      </c>
      <c r="CP297" s="259">
        <v>1209323</v>
      </c>
      <c r="CQ297" s="213">
        <v>1421028</v>
      </c>
      <c r="CR297" s="214">
        <v>1450218</v>
      </c>
      <c r="CS297" s="214">
        <v>1385189</v>
      </c>
      <c r="CT297" s="259">
        <v>1521216</v>
      </c>
      <c r="CU297" s="213">
        <v>1636071</v>
      </c>
      <c r="CV297" s="214">
        <v>1640802</v>
      </c>
      <c r="CW297" s="214"/>
      <c r="CX297" s="259"/>
    </row>
    <row r="298" spans="1:102" x14ac:dyDescent="0.25">
      <c r="A298" s="225"/>
      <c r="B298" s="227" t="s">
        <v>80</v>
      </c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3"/>
      <c r="AB298" s="183"/>
      <c r="AC298" s="183"/>
      <c r="AD298" s="183"/>
      <c r="AE298" s="183"/>
      <c r="AF298" s="183"/>
      <c r="AG298" s="183"/>
      <c r="AH298" s="183"/>
      <c r="AI298" s="183"/>
      <c r="AJ298" s="183"/>
      <c r="AK298" s="183"/>
      <c r="AL298" s="183"/>
      <c r="AM298" s="925">
        <v>1277</v>
      </c>
      <c r="AN298" s="925"/>
      <c r="AO298" s="925"/>
      <c r="AP298" s="925"/>
      <c r="AQ298" s="925">
        <v>1322</v>
      </c>
      <c r="AR298" s="925"/>
      <c r="AS298" s="925">
        <v>1623</v>
      </c>
      <c r="AT298" s="925"/>
      <c r="AU298" s="8">
        <f t="shared" ref="AU298:AZ298" si="807">+AU297/(32.15074)/(AU301)</f>
        <v>1397.7149609530616</v>
      </c>
      <c r="AV298" s="8">
        <f t="shared" si="807"/>
        <v>1171.8113327338333</v>
      </c>
      <c r="AW298" s="8">
        <f t="shared" si="807"/>
        <v>1059.1608656977239</v>
      </c>
      <c r="AX298" s="8">
        <f t="shared" si="807"/>
        <v>1027.0394749724169</v>
      </c>
      <c r="AY298" s="10">
        <f t="shared" si="807"/>
        <v>1048.8859171002348</v>
      </c>
      <c r="AZ298" s="8">
        <f t="shared" si="807"/>
        <v>1074.4023313148214</v>
      </c>
      <c r="BA298" s="8">
        <f>+BA297/(32.15074)/(BA301)-1</f>
        <v>1115.6991871378575</v>
      </c>
      <c r="BB298" s="9">
        <f t="shared" ref="BB298:BH298" si="808">+BB297/(32.15074)/(BB301)</f>
        <v>1013.8513585868143</v>
      </c>
      <c r="BC298" s="34">
        <f t="shared" si="808"/>
        <v>1242.2837508667571</v>
      </c>
      <c r="BD298" s="32">
        <f t="shared" si="808"/>
        <v>1054.031847912426</v>
      </c>
      <c r="BE298" s="32">
        <f t="shared" si="808"/>
        <v>1006.8221422921191</v>
      </c>
      <c r="BF298" s="33">
        <f t="shared" si="808"/>
        <v>881.66007770931878</v>
      </c>
      <c r="BG298" s="34">
        <f t="shared" si="808"/>
        <v>894.85449869964066</v>
      </c>
      <c r="BH298" s="32">
        <f t="shared" si="808"/>
        <v>922.32527816656341</v>
      </c>
      <c r="BI298" s="32">
        <f>+BI297/(32.15074)/(BI301)+1</f>
        <v>1062.3787101963537</v>
      </c>
      <c r="BJ298" s="32">
        <f t="shared" ref="BJ298:BP298" si="809">+BJ297/(32.15074)/(BJ301)</f>
        <v>957.06179567787035</v>
      </c>
      <c r="BK298" s="213">
        <f t="shared" si="809"/>
        <v>1162.8417435700601</v>
      </c>
      <c r="BL298" s="214">
        <f t="shared" si="809"/>
        <v>1125.3805723233179</v>
      </c>
      <c r="BM298" s="214">
        <f t="shared" si="809"/>
        <v>1149.4318158707251</v>
      </c>
      <c r="BN298" s="259">
        <f t="shared" si="809"/>
        <v>1077.7664981339683</v>
      </c>
      <c r="BO298" s="213">
        <f t="shared" si="809"/>
        <v>1336.2768934680714</v>
      </c>
      <c r="BP298" s="214">
        <f t="shared" si="809"/>
        <v>1295.3629518435882</v>
      </c>
      <c r="BQ298" s="214">
        <f t="shared" ref="BQ298:BV298" si="810">+BQ297/(32.15074)/(BQ301)</f>
        <v>1290.2056878211315</v>
      </c>
      <c r="BR298" s="214">
        <f t="shared" si="810"/>
        <v>1327.7840041908419</v>
      </c>
      <c r="BS298" s="213">
        <f t="shared" si="810"/>
        <v>2030.4735659118244</v>
      </c>
      <c r="BT298" s="214">
        <f t="shared" si="810"/>
        <v>1803.1287910598783</v>
      </c>
      <c r="BU298" s="214">
        <f t="shared" si="810"/>
        <v>1385.909299234967</v>
      </c>
      <c r="BV298" s="259">
        <f t="shared" si="810"/>
        <v>1314.1707624770067</v>
      </c>
      <c r="BW298" s="214">
        <f t="shared" ref="BW298:BX298" si="811">+BW297/(32.15074)/(BW301)</f>
        <v>1500.2839925977332</v>
      </c>
      <c r="BX298" s="214">
        <f t="shared" si="811"/>
        <v>1542.9476297588931</v>
      </c>
      <c r="BY298" s="214">
        <f t="shared" ref="BY298:BZ298" si="812">+BY297/(32.15074)/(BY301)</f>
        <v>1315.7729838718815</v>
      </c>
      <c r="BZ298" s="214">
        <f t="shared" si="812"/>
        <v>1381.9709945876566</v>
      </c>
      <c r="CA298" s="213">
        <f t="shared" ref="CA298:CB298" si="813">+CA297/(32.15074)/(CA301)</f>
        <v>1606.2620446367318</v>
      </c>
      <c r="CB298" s="214">
        <f t="shared" si="813"/>
        <v>1777.7698779773289</v>
      </c>
      <c r="CC298" s="214">
        <f t="shared" ref="CC298:CF298" si="814">+CC297/(32.15074)/(CC301)</f>
        <v>1692.3186205726743</v>
      </c>
      <c r="CD298" s="259">
        <f t="shared" si="814"/>
        <v>1681.9440480901903</v>
      </c>
      <c r="CE298" s="213">
        <f>+CE297/(32.15074)/(CE301)+1</f>
        <v>2420.4994914629547</v>
      </c>
      <c r="CF298" s="214">
        <f t="shared" si="814"/>
        <v>5032.0009094203597</v>
      </c>
      <c r="CG298" s="214">
        <f t="shared" ref="CG298:CH298" si="815">+CG297/(32.15074)/(CG301)</f>
        <v>2207.4333541242636</v>
      </c>
      <c r="CH298" s="259">
        <f t="shared" si="815"/>
        <v>1839.0406884346123</v>
      </c>
      <c r="CI298" s="213">
        <f>+CI297/(32.15074)/(CI301)</f>
        <v>1826.3979318997026</v>
      </c>
      <c r="CJ298" s="214">
        <f t="shared" ref="CJ298:CP298" si="816">+CJ297/(32.15074)/(CJ301)</f>
        <v>1800.4266225757556</v>
      </c>
      <c r="CK298" s="214">
        <f t="shared" si="816"/>
        <v>2062.2998029284313</v>
      </c>
      <c r="CL298" s="259">
        <f t="shared" si="816"/>
        <v>1949.0793419852507</v>
      </c>
      <c r="CM298" s="213">
        <f>+CM297/(32.15074)/(CM301)</f>
        <v>2039.3247756122328</v>
      </c>
      <c r="CN298" s="214">
        <f t="shared" si="816"/>
        <v>2115.9279182241517</v>
      </c>
      <c r="CO298" s="214">
        <f t="shared" si="816"/>
        <v>2249.5005372887722</v>
      </c>
      <c r="CP298" s="259">
        <f t="shared" si="816"/>
        <v>2103.7000871951013</v>
      </c>
      <c r="CQ298" s="213">
        <f>+CQ297/(32.15074)/(CQ301)</f>
        <v>2391.7164751248197</v>
      </c>
      <c r="CR298" s="214">
        <f t="shared" ref="CR298:CT298" si="817">+CR297/(32.15074)/(CR301)</f>
        <v>2466.2018115686897</v>
      </c>
      <c r="CS298" s="214">
        <f t="shared" si="817"/>
        <v>2442.4151206080865</v>
      </c>
      <c r="CT298" s="259">
        <f t="shared" si="817"/>
        <v>2765.3486984574051</v>
      </c>
      <c r="CU298" s="213">
        <f>+CU297/(32.15074)/(CU301)</f>
        <v>3114.2905011221055</v>
      </c>
      <c r="CV298" s="214">
        <f t="shared" ref="CV298:CX298" si="818">+CV297/(32.15074)/(CV301)</f>
        <v>3096.7631897536357</v>
      </c>
      <c r="CW298" s="214" t="e">
        <f t="shared" si="818"/>
        <v>#DIV/0!</v>
      </c>
      <c r="CX298" s="259" t="e">
        <f t="shared" si="818"/>
        <v>#DIV/0!</v>
      </c>
    </row>
    <row r="299" spans="1:102" x14ac:dyDescent="0.25">
      <c r="A299" s="225"/>
      <c r="B299" s="227" t="s">
        <v>81</v>
      </c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3"/>
      <c r="AB299" s="183"/>
      <c r="AC299" s="183"/>
      <c r="AD299" s="183"/>
      <c r="AE299" s="183"/>
      <c r="AF299" s="183"/>
      <c r="AG299" s="183"/>
      <c r="AH299" s="183"/>
      <c r="AI299" s="183"/>
      <c r="AJ299" s="183"/>
      <c r="AK299" s="183"/>
      <c r="AL299" s="183"/>
      <c r="AM299" s="925">
        <f>+AM297</f>
        <v>296531</v>
      </c>
      <c r="AN299" s="925"/>
      <c r="AO299" s="925"/>
      <c r="AP299" s="925"/>
      <c r="AQ299" s="8">
        <f t="shared" ref="AQ299:AV299" si="819">+AQ297</f>
        <v>336581</v>
      </c>
      <c r="AR299" s="8">
        <f t="shared" si="819"/>
        <v>336581</v>
      </c>
      <c r="AS299" s="8">
        <f t="shared" si="819"/>
        <v>441940</v>
      </c>
      <c r="AT299" s="8">
        <f t="shared" si="819"/>
        <v>441940</v>
      </c>
      <c r="AU299" s="8">
        <f t="shared" si="819"/>
        <v>399495</v>
      </c>
      <c r="AV299" s="8">
        <f t="shared" si="819"/>
        <v>354518</v>
      </c>
      <c r="AW299" s="8">
        <v>339847</v>
      </c>
      <c r="AX299" s="8">
        <f>+AX297</f>
        <v>333833</v>
      </c>
      <c r="AY299" s="10">
        <v>365187</v>
      </c>
      <c r="AZ299" s="8">
        <v>369716</v>
      </c>
      <c r="BA299" s="8">
        <v>392339</v>
      </c>
      <c r="BB299" s="9">
        <v>373365</v>
      </c>
      <c r="BC299" s="34">
        <v>473573</v>
      </c>
      <c r="BD299" s="32">
        <v>415836</v>
      </c>
      <c r="BE299" s="32">
        <v>429565</v>
      </c>
      <c r="BF299" s="33">
        <v>413548</v>
      </c>
      <c r="BG299" s="34">
        <v>464602</v>
      </c>
      <c r="BH299" s="32">
        <v>467214</v>
      </c>
      <c r="BI299" s="32">
        <v>497974</v>
      </c>
      <c r="BJ299" s="32">
        <v>455370</v>
      </c>
      <c r="BK299" s="213">
        <v>514526</v>
      </c>
      <c r="BL299" s="214">
        <v>495839</v>
      </c>
      <c r="BM299" s="214">
        <v>503041</v>
      </c>
      <c r="BN299" s="259">
        <v>493459</v>
      </c>
      <c r="BO299" s="213">
        <v>535851</v>
      </c>
      <c r="BP299" s="214">
        <v>542187</v>
      </c>
      <c r="BQ299" s="214">
        <v>609794</v>
      </c>
      <c r="BR299" s="214">
        <v>651267</v>
      </c>
      <c r="BS299" s="213">
        <v>935925</v>
      </c>
      <c r="BT299" s="214">
        <v>856436</v>
      </c>
      <c r="BU299" s="214">
        <v>671293</v>
      </c>
      <c r="BV299" s="259">
        <v>636100</v>
      </c>
      <c r="BW299" s="214">
        <v>757892</v>
      </c>
      <c r="BX299" s="214">
        <v>890853</v>
      </c>
      <c r="BY299" s="214">
        <v>726782</v>
      </c>
      <c r="BZ299" s="214">
        <v>710332</v>
      </c>
      <c r="CA299" s="213">
        <v>784554</v>
      </c>
      <c r="CB299" s="214">
        <v>822366</v>
      </c>
      <c r="CC299" s="214">
        <v>809792</v>
      </c>
      <c r="CD299" s="259">
        <v>865061</v>
      </c>
      <c r="CE299" s="213">
        <v>1224821</v>
      </c>
      <c r="CF299" s="214">
        <v>2663977</v>
      </c>
      <c r="CG299" s="214">
        <v>1293245</v>
      </c>
      <c r="CH299" s="259">
        <v>1110812</v>
      </c>
      <c r="CI299" s="213">
        <v>1127421</v>
      </c>
      <c r="CJ299" s="214">
        <v>1197324</v>
      </c>
      <c r="CK299" s="214">
        <v>1319197</v>
      </c>
      <c r="CL299" s="259">
        <v>1295339</v>
      </c>
      <c r="CM299" s="213">
        <v>1337451</v>
      </c>
      <c r="CN299" s="214">
        <v>1623381</v>
      </c>
      <c r="CO299" s="214">
        <v>1360750</v>
      </c>
      <c r="CP299" s="259">
        <v>1310528</v>
      </c>
      <c r="CQ299" s="213">
        <v>1498501</v>
      </c>
      <c r="CR299" s="214">
        <v>1600707</v>
      </c>
      <c r="CS299" s="214">
        <v>1533483</v>
      </c>
      <c r="CT299" s="259">
        <v>1696850</v>
      </c>
      <c r="CU299" s="213">
        <v>1793422</v>
      </c>
      <c r="CV299" s="214">
        <v>1875000</v>
      </c>
      <c r="CW299" s="214"/>
      <c r="CX299" s="259"/>
    </row>
    <row r="300" spans="1:102" x14ac:dyDescent="0.25">
      <c r="A300" s="225"/>
      <c r="B300" s="227" t="s">
        <v>82</v>
      </c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3"/>
      <c r="AB300" s="183"/>
      <c r="AC300" s="183"/>
      <c r="AD300" s="183"/>
      <c r="AE300" s="183"/>
      <c r="AF300" s="183"/>
      <c r="AG300" s="183"/>
      <c r="AH300" s="183"/>
      <c r="AI300" s="183"/>
      <c r="AJ300" s="183"/>
      <c r="AK300" s="183"/>
      <c r="AL300" s="183"/>
      <c r="AM300" s="925">
        <f>+AM298</f>
        <v>1277</v>
      </c>
      <c r="AN300" s="925"/>
      <c r="AO300" s="925"/>
      <c r="AP300" s="925"/>
      <c r="AQ300" s="925">
        <f>+AQ298</f>
        <v>1322</v>
      </c>
      <c r="AR300" s="925"/>
      <c r="AS300" s="925">
        <f>+AS298</f>
        <v>1623</v>
      </c>
      <c r="AT300" s="925"/>
      <c r="AU300" s="8">
        <f t="shared" ref="AU300:BH300" si="820">+AU299/(32.15074)/(AU301)</f>
        <v>1397.7149609530616</v>
      </c>
      <c r="AV300" s="8">
        <f t="shared" si="820"/>
        <v>1171.8113327338333</v>
      </c>
      <c r="AW300" s="8">
        <f t="shared" si="820"/>
        <v>1059.1608656977239</v>
      </c>
      <c r="AX300" s="8">
        <f t="shared" si="820"/>
        <v>1027.0394749724169</v>
      </c>
      <c r="AY300" s="10">
        <f t="shared" si="820"/>
        <v>1049.7770520150173</v>
      </c>
      <c r="AZ300" s="8">
        <f t="shared" si="820"/>
        <v>1092.0660377977172</v>
      </c>
      <c r="BA300" s="8">
        <f t="shared" si="820"/>
        <v>1138.3497646845092</v>
      </c>
      <c r="BB300" s="9">
        <f t="shared" si="820"/>
        <v>1036.8707132179763</v>
      </c>
      <c r="BC300" s="34">
        <f t="shared" si="820"/>
        <v>1258.9546861541846</v>
      </c>
      <c r="BD300" s="32">
        <f t="shared" si="820"/>
        <v>1071.5781293374557</v>
      </c>
      <c r="BE300" s="32">
        <f t="shared" si="820"/>
        <v>1027.7667493333447</v>
      </c>
      <c r="BF300" s="33">
        <f t="shared" si="820"/>
        <v>905.19234705455449</v>
      </c>
      <c r="BG300" s="34">
        <f t="shared" si="820"/>
        <v>915.18305767089714</v>
      </c>
      <c r="BH300" s="32">
        <f t="shared" si="820"/>
        <v>970.74033257337658</v>
      </c>
      <c r="BI300" s="32">
        <f t="shared" ref="BI300:BN300" si="821">+BI299/(32.15074)/(BI301)</f>
        <v>1101.6163528066095</v>
      </c>
      <c r="BJ300" s="32">
        <f t="shared" si="821"/>
        <v>1020.4317812780691</v>
      </c>
      <c r="BK300" s="213">
        <f t="shared" si="821"/>
        <v>1211.4724279816</v>
      </c>
      <c r="BL300" s="214">
        <f t="shared" si="821"/>
        <v>1168.3575745398273</v>
      </c>
      <c r="BM300" s="214">
        <f t="shared" si="821"/>
        <v>1187.126499970077</v>
      </c>
      <c r="BN300" s="259">
        <f t="shared" si="821"/>
        <v>1126.0670355111972</v>
      </c>
      <c r="BO300" s="213">
        <f>+BO299/(32.15074)/(BO301)-1</f>
        <v>1392.5478722332909</v>
      </c>
      <c r="BP300" s="214">
        <f t="shared" ref="BP300:BV300" si="822">+BP299/(32.15074)/(BP301)</f>
        <v>1333.1149581958982</v>
      </c>
      <c r="BQ300" s="214">
        <f t="shared" si="822"/>
        <v>1349.9442994174749</v>
      </c>
      <c r="BR300" s="214">
        <f t="shared" si="822"/>
        <v>1415.5605984408751</v>
      </c>
      <c r="BS300" s="213">
        <f t="shared" si="822"/>
        <v>2077.8392199521363</v>
      </c>
      <c r="BT300" s="214">
        <f t="shared" si="822"/>
        <v>1851.1565461465113</v>
      </c>
      <c r="BU300" s="214">
        <f t="shared" si="822"/>
        <v>1423.2822438544129</v>
      </c>
      <c r="BV300" s="259">
        <f t="shared" si="822"/>
        <v>1344.0846219213402</v>
      </c>
      <c r="BW300" s="214">
        <f t="shared" ref="BW300:BX300" si="823">+BW299/(32.15074)/(BW301)</f>
        <v>1532.7100816030579</v>
      </c>
      <c r="BX300" s="214">
        <f t="shared" si="823"/>
        <v>1543.6563386508294</v>
      </c>
      <c r="BY300" s="214">
        <f t="shared" ref="BY300:BZ300" si="824">+BY299/(32.15074)/(BY301)</f>
        <v>1336.8096803142175</v>
      </c>
      <c r="BZ300" s="214">
        <f t="shared" si="824"/>
        <v>1415.3619087904669</v>
      </c>
      <c r="CA300" s="213">
        <f t="shared" ref="CA300:CB300" si="825">+CA299/(32.15074)/(CA301)</f>
        <v>1631.1739386981751</v>
      </c>
      <c r="CB300" s="214">
        <f t="shared" si="825"/>
        <v>1810.2227196014774</v>
      </c>
      <c r="CC300" s="214">
        <f t="shared" ref="CC300:CF300" si="826">+CC299/(32.15074)/(CC301)</f>
        <v>1721.6235017622776</v>
      </c>
      <c r="CD300" s="259">
        <f t="shared" si="826"/>
        <v>1744.9033878895771</v>
      </c>
      <c r="CE300" s="213">
        <f t="shared" si="826"/>
        <v>2503.0354363324177</v>
      </c>
      <c r="CF300" s="214">
        <f t="shared" si="826"/>
        <v>5314.8790085897263</v>
      </c>
      <c r="CG300" s="214">
        <f t="shared" ref="CG300:CJ300" si="827">+CG299/(32.15074)/(CG301)</f>
        <v>2359.2037579093353</v>
      </c>
      <c r="CH300" s="259">
        <f t="shared" si="827"/>
        <v>1961.9603821691794</v>
      </c>
      <c r="CI300" s="213">
        <f t="shared" si="827"/>
        <v>1974.4774820785512</v>
      </c>
      <c r="CJ300" s="214">
        <f t="shared" si="827"/>
        <v>1995.7634975710391</v>
      </c>
      <c r="CK300" s="214">
        <f t="shared" ref="CK300:CP300" si="828">+CK299/(32.15074)/(CK301)</f>
        <v>2207.1878250233472</v>
      </c>
      <c r="CL300" s="259">
        <f t="shared" si="828"/>
        <v>2160.2978426852569</v>
      </c>
      <c r="CM300" s="213">
        <f t="shared" si="828"/>
        <v>2205.6937777671938</v>
      </c>
      <c r="CN300" s="214">
        <f t="shared" si="828"/>
        <v>2719.0524279538236</v>
      </c>
      <c r="CO300" s="214">
        <f t="shared" si="828"/>
        <v>2356.5737585027728</v>
      </c>
      <c r="CP300" s="259">
        <f t="shared" si="828"/>
        <v>2279.7531080378208</v>
      </c>
      <c r="CQ300" s="213">
        <f t="shared" ref="CQ300:CT300" si="829">+CQ299/(32.15074)/(CQ301)</f>
        <v>2522.1104226595235</v>
      </c>
      <c r="CR300" s="214">
        <f t="shared" si="829"/>
        <v>2722.1193663233266</v>
      </c>
      <c r="CS300" s="214">
        <f t="shared" si="829"/>
        <v>2703.8924409560354</v>
      </c>
      <c r="CT300" s="259">
        <f t="shared" si="829"/>
        <v>3084.6256803619262</v>
      </c>
      <c r="CU300" s="213">
        <f t="shared" ref="CU300:CX300" si="830">+CU299/(32.15074)/(CU301)</f>
        <v>3413.810952644114</v>
      </c>
      <c r="CV300" s="214">
        <f t="shared" si="830"/>
        <v>3538.7761477546146</v>
      </c>
      <c r="CW300" s="214" t="e">
        <f t="shared" si="830"/>
        <v>#DIV/0!</v>
      </c>
      <c r="CX300" s="259" t="e">
        <f t="shared" si="830"/>
        <v>#DIV/0!</v>
      </c>
    </row>
    <row r="301" spans="1:102" x14ac:dyDescent="0.25">
      <c r="A301" s="225"/>
      <c r="B301" s="300" t="s">
        <v>83</v>
      </c>
      <c r="C301" s="36">
        <f t="shared" ref="C301:AH301" si="831">+C50</f>
        <v>11.53</v>
      </c>
      <c r="D301" s="50">
        <f t="shared" si="831"/>
        <v>10.51</v>
      </c>
      <c r="E301" s="50">
        <f t="shared" si="831"/>
        <v>10.38</v>
      </c>
      <c r="F301" s="50">
        <f t="shared" si="831"/>
        <v>9.77</v>
      </c>
      <c r="G301" s="50">
        <f t="shared" si="831"/>
        <v>8.3800000000000008</v>
      </c>
      <c r="H301" s="50">
        <f t="shared" si="831"/>
        <v>7.74</v>
      </c>
      <c r="I301" s="50">
        <f t="shared" si="831"/>
        <v>7.44</v>
      </c>
      <c r="J301" s="50">
        <f t="shared" si="831"/>
        <v>6.76</v>
      </c>
      <c r="K301" s="50">
        <f t="shared" si="831"/>
        <v>6.79</v>
      </c>
      <c r="L301" s="50">
        <f t="shared" si="831"/>
        <v>6.6</v>
      </c>
      <c r="M301" s="50">
        <f t="shared" si="831"/>
        <v>6.36</v>
      </c>
      <c r="N301" s="50">
        <f t="shared" si="831"/>
        <v>6.12</v>
      </c>
      <c r="O301" s="50">
        <f t="shared" si="831"/>
        <v>5.95</v>
      </c>
      <c r="P301" s="50">
        <f t="shared" si="831"/>
        <v>6.39</v>
      </c>
      <c r="Q301" s="50">
        <f t="shared" si="831"/>
        <v>6.52</v>
      </c>
      <c r="R301" s="50">
        <f t="shared" si="831"/>
        <v>6.53</v>
      </c>
      <c r="S301" s="50">
        <f t="shared" si="831"/>
        <v>6.14</v>
      </c>
      <c r="T301" s="50">
        <f t="shared" si="831"/>
        <v>6.39</v>
      </c>
      <c r="U301" s="50">
        <f t="shared" si="831"/>
        <v>7.1</v>
      </c>
      <c r="V301" s="50">
        <f t="shared" si="831"/>
        <v>7.38</v>
      </c>
      <c r="W301" s="50">
        <f t="shared" si="831"/>
        <v>7.21</v>
      </c>
      <c r="X301" s="50">
        <f t="shared" si="831"/>
        <v>7.09</v>
      </c>
      <c r="Y301" s="50">
        <f t="shared" si="831"/>
        <v>7.1</v>
      </c>
      <c r="Z301" s="50">
        <f t="shared" si="831"/>
        <v>6.76</v>
      </c>
      <c r="AA301">
        <f t="shared" si="831"/>
        <v>7.45</v>
      </c>
      <c r="AB301">
        <f t="shared" si="831"/>
        <v>7.77</v>
      </c>
      <c r="AC301">
        <f t="shared" si="831"/>
        <v>7.74</v>
      </c>
      <c r="AD301">
        <f t="shared" si="831"/>
        <v>9.82</v>
      </c>
      <c r="AE301">
        <f t="shared" si="831"/>
        <v>9.93</v>
      </c>
      <c r="AF301">
        <f t="shared" si="831"/>
        <v>8.56</v>
      </c>
      <c r="AG301">
        <f t="shared" si="831"/>
        <v>7.82</v>
      </c>
      <c r="AH301">
        <f t="shared" si="831"/>
        <v>7.49</v>
      </c>
      <c r="AI301">
        <f t="shared" ref="AI301:BM301" si="832">+AI50</f>
        <v>7.5</v>
      </c>
      <c r="AJ301">
        <f t="shared" si="832"/>
        <v>7.51</v>
      </c>
      <c r="AK301">
        <f t="shared" si="832"/>
        <v>7.36</v>
      </c>
      <c r="AL301">
        <f t="shared" si="832"/>
        <v>6.92</v>
      </c>
      <c r="AM301">
        <f t="shared" si="832"/>
        <v>6.98</v>
      </c>
      <c r="AN301">
        <f t="shared" si="832"/>
        <v>6.78</v>
      </c>
      <c r="AO301">
        <f t="shared" si="832"/>
        <v>7.05</v>
      </c>
      <c r="AP301">
        <f t="shared" si="832"/>
        <v>8.08</v>
      </c>
      <c r="AQ301">
        <f t="shared" si="832"/>
        <v>7.77</v>
      </c>
      <c r="AR301">
        <f t="shared" si="832"/>
        <v>8.06</v>
      </c>
      <c r="AS301">
        <f t="shared" si="832"/>
        <v>8.26</v>
      </c>
      <c r="AT301">
        <f t="shared" si="832"/>
        <v>8.67</v>
      </c>
      <c r="AU301">
        <f t="shared" si="832"/>
        <v>8.89</v>
      </c>
      <c r="AV301">
        <f t="shared" si="832"/>
        <v>9.41</v>
      </c>
      <c r="AW301">
        <f t="shared" si="832"/>
        <v>9.98</v>
      </c>
      <c r="AX301">
        <f t="shared" si="832"/>
        <v>10.11</v>
      </c>
      <c r="AY301" s="22">
        <f t="shared" si="832"/>
        <v>10.82</v>
      </c>
      <c r="AZ301">
        <f t="shared" si="832"/>
        <v>10.53</v>
      </c>
      <c r="BA301">
        <f t="shared" si="832"/>
        <v>10.72</v>
      </c>
      <c r="BB301" s="27">
        <f t="shared" si="832"/>
        <v>11.2</v>
      </c>
      <c r="BC301" s="52">
        <f t="shared" si="832"/>
        <v>11.7</v>
      </c>
      <c r="BD301" s="50">
        <f t="shared" si="832"/>
        <v>12.07</v>
      </c>
      <c r="BE301" s="53">
        <f t="shared" si="832"/>
        <v>13</v>
      </c>
      <c r="BF301" s="54">
        <f t="shared" si="832"/>
        <v>14.21</v>
      </c>
      <c r="BG301" s="52">
        <f t="shared" si="832"/>
        <v>15.79</v>
      </c>
      <c r="BH301" s="53">
        <f t="shared" si="832"/>
        <v>14.97</v>
      </c>
      <c r="BI301" s="53">
        <f t="shared" si="832"/>
        <v>14.06</v>
      </c>
      <c r="BJ301" s="53">
        <f t="shared" si="832"/>
        <v>13.88</v>
      </c>
      <c r="BK301" s="317">
        <f t="shared" si="832"/>
        <v>13.21</v>
      </c>
      <c r="BL301" s="245">
        <f t="shared" si="832"/>
        <v>13.2</v>
      </c>
      <c r="BM301" s="245">
        <f t="shared" si="832"/>
        <v>13.18</v>
      </c>
      <c r="BN301" s="227">
        <v>13.63</v>
      </c>
      <c r="BO301" s="317">
        <f t="shared" ref="BO301:BV301" si="833">+BO50</f>
        <v>11.96</v>
      </c>
      <c r="BP301" s="245">
        <f t="shared" si="833"/>
        <v>12.65</v>
      </c>
      <c r="BQ301" s="245">
        <f t="shared" si="833"/>
        <v>14.05</v>
      </c>
      <c r="BR301" s="208">
        <f t="shared" si="833"/>
        <v>14.31</v>
      </c>
      <c r="BS301" s="225">
        <f t="shared" si="833"/>
        <v>14.01</v>
      </c>
      <c r="BT301" s="208">
        <f t="shared" si="833"/>
        <v>14.39</v>
      </c>
      <c r="BU301" s="208">
        <f t="shared" si="833"/>
        <v>14.67</v>
      </c>
      <c r="BV301" s="227">
        <f t="shared" si="833"/>
        <v>14.72</v>
      </c>
      <c r="BW301" s="208">
        <f t="shared" ref="BW301:BX301" si="834">+BW50</f>
        <v>15.38</v>
      </c>
      <c r="BX301" s="208">
        <f t="shared" si="834"/>
        <v>17.95</v>
      </c>
      <c r="BY301" s="208">
        <f t="shared" ref="BY301:BZ301" si="835">+BY50</f>
        <v>16.91</v>
      </c>
      <c r="BZ301" s="208">
        <f t="shared" si="835"/>
        <v>15.61</v>
      </c>
      <c r="CA301" s="225">
        <f t="shared" ref="CA301:CB301" si="836">+CA50</f>
        <v>14.96</v>
      </c>
      <c r="CB301" s="208">
        <f t="shared" si="836"/>
        <v>14.13</v>
      </c>
      <c r="CC301" s="208">
        <f t="shared" ref="CC301:CF301" si="837">+CC50</f>
        <v>14.63</v>
      </c>
      <c r="CD301" s="227">
        <f t="shared" si="837"/>
        <v>15.42</v>
      </c>
      <c r="CE301" s="225">
        <f t="shared" si="837"/>
        <v>15.22</v>
      </c>
      <c r="CF301" s="208">
        <f t="shared" si="837"/>
        <v>15.59</v>
      </c>
      <c r="CG301" s="208">
        <f t="shared" ref="CG301:CJ301" si="838">+CG50</f>
        <v>17.05</v>
      </c>
      <c r="CH301" s="227">
        <f t="shared" si="838"/>
        <v>17.61</v>
      </c>
      <c r="CI301" s="225">
        <f t="shared" si="838"/>
        <v>17.760000000000002</v>
      </c>
      <c r="CJ301" s="208">
        <f t="shared" si="838"/>
        <v>18.66</v>
      </c>
      <c r="CK301" s="208">
        <f t="shared" ref="CK301:CL301" si="839">+CK50</f>
        <v>18.59</v>
      </c>
      <c r="CL301" s="227">
        <f t="shared" si="839"/>
        <v>18.649999999999999</v>
      </c>
      <c r="CM301" s="225">
        <v>18.86</v>
      </c>
      <c r="CN301" s="297">
        <v>18.57</v>
      </c>
      <c r="CO301" s="297">
        <v>17.96</v>
      </c>
      <c r="CP301" s="326">
        <v>17.88</v>
      </c>
      <c r="CQ301" s="301">
        <v>18.48</v>
      </c>
      <c r="CR301" s="297">
        <v>18.29</v>
      </c>
      <c r="CS301" s="297">
        <v>17.64</v>
      </c>
      <c r="CT301" s="326">
        <v>17.11</v>
      </c>
      <c r="CU301" s="301">
        <v>16.34</v>
      </c>
      <c r="CV301" s="297">
        <v>16.48</v>
      </c>
      <c r="CW301" s="297"/>
      <c r="CX301" s="326"/>
    </row>
    <row r="302" spans="1:102" x14ac:dyDescent="0.25">
      <c r="A302" s="225"/>
      <c r="B302" s="227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Y302" s="22"/>
      <c r="BB302" s="23"/>
      <c r="BC302" s="46"/>
      <c r="BD302" s="50"/>
      <c r="BE302" s="47"/>
      <c r="BF302" s="48"/>
      <c r="BG302" s="46"/>
      <c r="BH302" s="47"/>
      <c r="BI302" s="47"/>
      <c r="BJ302" s="47"/>
      <c r="BK302" s="311"/>
      <c r="BL302" s="312"/>
      <c r="BM302" s="208"/>
      <c r="BN302" s="227"/>
      <c r="BO302" s="311"/>
      <c r="BP302" s="312"/>
      <c r="BQ302" s="208"/>
      <c r="BR302" s="208"/>
      <c r="BS302" s="225"/>
      <c r="BT302" s="208"/>
      <c r="BU302" s="208"/>
      <c r="BV302" s="227"/>
      <c r="BW302" s="208"/>
      <c r="BX302" s="208"/>
      <c r="BY302" s="208"/>
      <c r="BZ302" s="208"/>
      <c r="CA302" s="225"/>
      <c r="CB302" s="208"/>
      <c r="CC302" s="208"/>
      <c r="CD302" s="227"/>
      <c r="CE302" s="225"/>
      <c r="CF302" s="208"/>
      <c r="CG302" s="208"/>
      <c r="CH302" s="227"/>
      <c r="CI302" s="225"/>
      <c r="CJ302" s="208"/>
      <c r="CK302" s="208"/>
      <c r="CL302" s="227"/>
      <c r="CM302" s="225"/>
      <c r="CN302" s="208"/>
      <c r="CO302" s="208"/>
      <c r="CP302" s="227"/>
      <c r="CQ302" s="225"/>
      <c r="CR302" s="208"/>
      <c r="CS302" s="208"/>
      <c r="CT302" s="227"/>
      <c r="CU302" s="225"/>
      <c r="CV302" s="208"/>
      <c r="CW302" s="208"/>
      <c r="CX302" s="227"/>
    </row>
    <row r="303" spans="1:102" x14ac:dyDescent="0.25">
      <c r="A303" s="22"/>
      <c r="B303" s="206" t="s">
        <v>159</v>
      </c>
      <c r="C303" s="207"/>
      <c r="D303" s="207"/>
      <c r="E303" s="207"/>
      <c r="F303" s="207"/>
      <c r="G303" s="207"/>
      <c r="H303" s="207"/>
      <c r="I303" s="207"/>
      <c r="J303" s="207"/>
      <c r="K303" s="207"/>
      <c r="L303" s="207"/>
      <c r="M303" s="207"/>
      <c r="N303" s="207"/>
      <c r="O303" s="207"/>
      <c r="P303" s="207"/>
      <c r="Q303" s="207"/>
      <c r="R303" s="207"/>
      <c r="S303" s="207"/>
      <c r="T303" s="207"/>
      <c r="U303" s="207"/>
      <c r="V303" s="207"/>
      <c r="W303" s="207"/>
      <c r="X303" s="207"/>
      <c r="Y303" s="207"/>
      <c r="Z303" s="207"/>
      <c r="AA303" s="207"/>
      <c r="AB303" s="207"/>
      <c r="AC303" s="207"/>
      <c r="AD303" s="207"/>
      <c r="AE303" s="207"/>
      <c r="AF303" s="207"/>
      <c r="AG303" s="207"/>
      <c r="AH303" s="207"/>
      <c r="AI303" s="207"/>
      <c r="AJ303" s="207"/>
      <c r="AK303" s="207"/>
      <c r="AL303" s="207"/>
      <c r="AM303" s="207"/>
      <c r="AN303" s="207"/>
      <c r="AO303" s="207"/>
      <c r="AP303" s="207"/>
      <c r="AQ303" s="207"/>
      <c r="AR303" s="207"/>
      <c r="AS303" s="207"/>
      <c r="AT303" s="207"/>
      <c r="AU303" s="207"/>
      <c r="AV303" s="207"/>
      <c r="AW303" s="207"/>
      <c r="AX303" s="207"/>
      <c r="AY303" s="207"/>
      <c r="AZ303" s="207"/>
      <c r="BA303" s="207"/>
      <c r="BB303" s="207"/>
      <c r="BC303" s="207"/>
      <c r="BD303" s="207"/>
      <c r="BE303" s="207"/>
      <c r="BF303" s="207"/>
      <c r="BG303" s="207"/>
      <c r="BH303" s="207"/>
      <c r="BI303" s="207"/>
      <c r="BJ303" s="207"/>
      <c r="BK303" s="207"/>
      <c r="BL303" s="207"/>
      <c r="BM303" s="207"/>
      <c r="BN303" s="207"/>
      <c r="BO303" s="207"/>
      <c r="BP303" s="207"/>
      <c r="BQ303" s="207"/>
      <c r="BR303" s="207"/>
      <c r="BS303" s="206"/>
      <c r="BT303" s="207"/>
      <c r="BU303" s="207"/>
      <c r="BV303" s="261"/>
      <c r="BW303" s="207"/>
      <c r="BX303" s="207"/>
      <c r="BY303" s="207"/>
      <c r="BZ303" s="207"/>
      <c r="CA303" s="206"/>
      <c r="CB303" s="207"/>
      <c r="CC303" s="207"/>
      <c r="CD303" s="261"/>
      <c r="CE303" s="206"/>
      <c r="CF303" s="207"/>
      <c r="CG303" s="207"/>
      <c r="CH303" s="261"/>
      <c r="CI303" s="206"/>
      <c r="CJ303" s="207"/>
      <c r="CK303" s="207"/>
      <c r="CL303" s="261"/>
      <c r="CM303" s="206"/>
      <c r="CN303" s="207"/>
      <c r="CO303" s="207"/>
      <c r="CP303" s="261"/>
      <c r="CQ303" s="206"/>
      <c r="CR303" s="207"/>
      <c r="CS303" s="207"/>
      <c r="CT303" s="261"/>
      <c r="CU303" s="206"/>
      <c r="CV303" s="207"/>
      <c r="CW303" s="207"/>
      <c r="CX303" s="261"/>
    </row>
    <row r="304" spans="1:102" s="208" customFormat="1" x14ac:dyDescent="0.25">
      <c r="A304" s="225"/>
      <c r="B304" s="227"/>
      <c r="C304" s="243"/>
      <c r="D304" s="243"/>
      <c r="E304" s="243"/>
      <c r="F304" s="243"/>
      <c r="G304" s="243"/>
      <c r="H304" s="243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Y304" s="225"/>
      <c r="BB304" s="227"/>
      <c r="BC304" s="311"/>
      <c r="BD304" s="243"/>
      <c r="BE304" s="312"/>
      <c r="BF304" s="642"/>
      <c r="BG304" s="311"/>
      <c r="BH304" s="312"/>
      <c r="BI304" s="312"/>
      <c r="BJ304" s="312"/>
      <c r="BK304" s="311"/>
      <c r="BL304" s="312"/>
      <c r="BN304" s="227"/>
      <c r="BO304" s="311"/>
      <c r="BP304" s="312"/>
      <c r="BS304" s="225"/>
      <c r="BV304" s="227"/>
      <c r="CA304" s="225"/>
      <c r="CD304" s="227"/>
      <c r="CE304" s="225"/>
      <c r="CH304" s="227"/>
      <c r="CI304" s="225"/>
      <c r="CL304" s="227"/>
      <c r="CM304" s="225"/>
      <c r="CP304" s="227"/>
      <c r="CQ304" s="225"/>
      <c r="CT304" s="227"/>
      <c r="CU304" s="225"/>
      <c r="CX304" s="227"/>
    </row>
    <row r="305" spans="1:102" s="208" customFormat="1" x14ac:dyDescent="0.25">
      <c r="A305" s="225"/>
      <c r="B305" s="305" t="s">
        <v>87</v>
      </c>
      <c r="C305" s="491"/>
      <c r="D305" s="491"/>
      <c r="E305" s="491"/>
      <c r="F305" s="491"/>
      <c r="G305" s="491"/>
      <c r="H305" s="491"/>
      <c r="I305" s="491"/>
      <c r="J305" s="491"/>
      <c r="K305" s="491"/>
      <c r="L305" s="491"/>
      <c r="M305" s="491"/>
      <c r="N305" s="491"/>
      <c r="O305" s="491"/>
      <c r="P305" s="491"/>
      <c r="Q305" s="491"/>
      <c r="R305" s="491"/>
      <c r="S305" s="491"/>
      <c r="T305" s="491"/>
      <c r="U305" s="491"/>
      <c r="V305" s="491"/>
      <c r="W305" s="491"/>
      <c r="X305" s="491"/>
      <c r="Y305" s="491"/>
      <c r="Z305" s="491"/>
      <c r="AA305" s="313"/>
      <c r="AB305" s="313"/>
      <c r="AC305" s="313"/>
      <c r="AD305" s="313"/>
      <c r="AE305" s="313"/>
      <c r="AF305" s="313"/>
      <c r="AG305" s="313"/>
      <c r="AH305" s="313"/>
      <c r="AI305" s="313"/>
      <c r="AJ305" s="313"/>
      <c r="AK305" s="313"/>
      <c r="AL305" s="313"/>
      <c r="AM305" s="313"/>
      <c r="AN305" s="313"/>
      <c r="AO305" s="313"/>
      <c r="AP305" s="313"/>
      <c r="AQ305" s="643">
        <v>0.19585714923141626</v>
      </c>
      <c r="AR305" s="643">
        <v>0.20164441343153697</v>
      </c>
      <c r="AS305" s="643">
        <v>-1.3230304727238733E-2</v>
      </c>
      <c r="AT305" s="643">
        <v>7.8425990597716558E-2</v>
      </c>
      <c r="AU305" s="643">
        <v>0.15029409104406019</v>
      </c>
      <c r="AV305" s="643">
        <v>0.18642541955222955</v>
      </c>
      <c r="AW305" s="643">
        <v>0.2005120702568805</v>
      </c>
      <c r="AX305" s="643">
        <v>0.19701818036040014</v>
      </c>
      <c r="AY305" s="644">
        <v>0.19492830511366063</v>
      </c>
      <c r="AZ305" s="643">
        <v>0.15072729077075753</v>
      </c>
      <c r="BA305" s="643">
        <v>0.11286939285530873</v>
      </c>
      <c r="BB305" s="645">
        <v>0.13965763187613542</v>
      </c>
      <c r="BC305" s="646">
        <v>-3.048408927541358E-2</v>
      </c>
      <c r="BD305" s="647">
        <v>0.10165346996392523</v>
      </c>
      <c r="BE305" s="647">
        <v>8.6712277933147092E-2</v>
      </c>
      <c r="BF305" s="648">
        <v>0.18124571101520573</v>
      </c>
      <c r="BG305" s="646">
        <v>0.22600821871845117</v>
      </c>
      <c r="BH305" s="647">
        <v>0.2295017837229105</v>
      </c>
      <c r="BI305" s="647">
        <v>0.16685698322293954</v>
      </c>
      <c r="BJ305" s="647">
        <v>0.16014352402171522</v>
      </c>
      <c r="BK305" s="646">
        <v>2.8172825235840602E-3</v>
      </c>
      <c r="BL305" s="647">
        <v>6.4650947596332831E-2</v>
      </c>
      <c r="BM305" s="647">
        <v>7.257599006195356E-2</v>
      </c>
      <c r="BN305" s="648">
        <v>0.11295763473559711</v>
      </c>
      <c r="BO305" s="646">
        <v>-5.5407660295395317E-2</v>
      </c>
      <c r="BP305" s="647">
        <v>-1.9839636721828275E-2</v>
      </c>
      <c r="BQ305" s="647">
        <v>-0.11957557174460297</v>
      </c>
      <c r="BR305" s="647">
        <v>-0.15809788812689332</v>
      </c>
      <c r="BS305" s="646">
        <v>-0.59199999999999997</v>
      </c>
      <c r="BT305" s="647">
        <f t="shared" ref="BT305:BY305" si="840">+(BT289-BT299)/BT289</f>
        <v>-0.41666914788385256</v>
      </c>
      <c r="BU305" s="647">
        <f t="shared" si="840"/>
        <v>1.8824213794192104E-2</v>
      </c>
      <c r="BV305" s="648">
        <f t="shared" si="840"/>
        <v>5.0309272809522888E-2</v>
      </c>
      <c r="BW305" s="647">
        <f t="shared" si="840"/>
        <v>4.7063897309646524E-2</v>
      </c>
      <c r="BX305" s="647">
        <f t="shared" si="840"/>
        <v>8.385781101526539E-2</v>
      </c>
      <c r="BY305" s="647">
        <f t="shared" si="840"/>
        <v>0.2753520881005439</v>
      </c>
      <c r="BZ305" s="647">
        <f t="shared" ref="BZ305:CD305" si="841">+(BZ289-BZ299)/BZ289</f>
        <v>0.23811995825561677</v>
      </c>
      <c r="CA305" s="646">
        <f t="shared" si="841"/>
        <v>8.466899849030364E-2</v>
      </c>
      <c r="CB305" s="647">
        <f t="shared" si="841"/>
        <v>-2.0446259723549023E-3</v>
      </c>
      <c r="CC305" s="647">
        <f t="shared" ref="CC305" si="842">+(CC289-CC299)/CC289</f>
        <v>3.3429259285341711E-2</v>
      </c>
      <c r="CD305" s="648">
        <f t="shared" si="841"/>
        <v>2.2135482901012048E-2</v>
      </c>
      <c r="CE305" s="646">
        <f t="shared" ref="CE305:CH305" si="843">+(CE289-CE299)/CE289</f>
        <v>-0.33662864993872438</v>
      </c>
      <c r="CF305" s="647">
        <f t="shared" si="843"/>
        <v>-1.8321079187016416</v>
      </c>
      <c r="CG305" s="647">
        <f t="shared" si="843"/>
        <v>-0.36950448790447266</v>
      </c>
      <c r="CH305" s="648">
        <f t="shared" si="843"/>
        <v>-0.14325412222641909</v>
      </c>
      <c r="CI305" s="646">
        <f t="shared" ref="CI305:CP305" si="844">+(CI289-CI299)/CI289</f>
        <v>-5.9305535458920491E-2</v>
      </c>
      <c r="CJ305" s="647">
        <f t="shared" si="844"/>
        <v>-1.0423022296710558E-2</v>
      </c>
      <c r="CK305" s="647">
        <f t="shared" si="844"/>
        <v>-0.14369871897129302</v>
      </c>
      <c r="CL305" s="648">
        <f t="shared" si="844"/>
        <v>-8.9833463181682796E-2</v>
      </c>
      <c r="CM305" s="646">
        <f t="shared" si="844"/>
        <v>-6.6089615388600906E-2</v>
      </c>
      <c r="CN305" s="647">
        <f t="shared" si="844"/>
        <v>-0.16511713030746705</v>
      </c>
      <c r="CO305" s="647">
        <f t="shared" si="844"/>
        <v>4.5951384360824236E-2</v>
      </c>
      <c r="CP305" s="648">
        <f t="shared" si="844"/>
        <v>0.13852974063101267</v>
      </c>
      <c r="CQ305" s="646">
        <f t="shared" ref="CQ305:CT305" si="845">+(CQ289-CQ299)/CQ289</f>
        <v>0.10948221045562866</v>
      </c>
      <c r="CR305" s="647">
        <f t="shared" si="845"/>
        <v>0.16220590059462342</v>
      </c>
      <c r="CS305" s="647">
        <f t="shared" si="845"/>
        <v>0.20523962018998793</v>
      </c>
      <c r="CT305" s="648">
        <f t="shared" si="845"/>
        <v>0.24127150349282944</v>
      </c>
      <c r="CU305" s="646">
        <f t="shared" ref="CU305:CX305" si="846">+(CU289-CU299)/CU289</f>
        <v>0.28343203635616837</v>
      </c>
      <c r="CV305" s="647">
        <f t="shared" si="846"/>
        <v>0.20297962348332335</v>
      </c>
      <c r="CW305" s="647" t="e">
        <f t="shared" si="846"/>
        <v>#DIV/0!</v>
      </c>
      <c r="CX305" s="648" t="e">
        <f t="shared" si="846"/>
        <v>#DIV/0!</v>
      </c>
    </row>
    <row r="306" spans="1:102" s="208" customFormat="1" x14ac:dyDescent="0.25"/>
    <row r="307" spans="1:102" s="208" customFormat="1" x14ac:dyDescent="0.25"/>
    <row r="308" spans="1:102" s="208" customFormat="1" x14ac:dyDescent="0.25"/>
    <row r="309" spans="1:102" s="208" customFormat="1" x14ac:dyDescent="0.25"/>
    <row r="310" spans="1:102" s="208" customFormat="1" x14ac:dyDescent="0.25"/>
    <row r="311" spans="1:102" s="208" customFormat="1" x14ac:dyDescent="0.25"/>
    <row r="312" spans="1:102" s="208" customFormat="1" x14ac:dyDescent="0.25"/>
    <row r="313" spans="1:102" s="208" customFormat="1" x14ac:dyDescent="0.25"/>
    <row r="314" spans="1:102" s="208" customFormat="1" x14ac:dyDescent="0.25"/>
    <row r="315" spans="1:102" s="208" customFormat="1" x14ac:dyDescent="0.25"/>
    <row r="316" spans="1:102" s="208" customFormat="1" x14ac:dyDescent="0.25"/>
    <row r="317" spans="1:102" s="208" customFormat="1" x14ac:dyDescent="0.25"/>
    <row r="318" spans="1:102" s="208" customFormat="1" x14ac:dyDescent="0.25"/>
    <row r="319" spans="1:102" s="208" customFormat="1" x14ac:dyDescent="0.25"/>
    <row r="320" spans="1:102" s="208" customFormat="1" x14ac:dyDescent="0.25"/>
    <row r="321" s="208" customFormat="1" x14ac:dyDescent="0.25"/>
    <row r="322" s="208" customFormat="1" x14ac:dyDescent="0.25"/>
    <row r="323" s="208" customFormat="1" x14ac:dyDescent="0.25"/>
    <row r="324" s="208" customFormat="1" x14ac:dyDescent="0.25"/>
    <row r="325" s="208" customFormat="1" x14ac:dyDescent="0.25"/>
    <row r="326" s="208" customFormat="1" x14ac:dyDescent="0.25"/>
    <row r="327" s="208" customFormat="1" x14ac:dyDescent="0.25"/>
    <row r="328" s="208" customFormat="1" x14ac:dyDescent="0.25"/>
    <row r="329" s="208" customFormat="1" x14ac:dyDescent="0.25"/>
    <row r="330" s="208" customFormat="1" x14ac:dyDescent="0.25"/>
    <row r="331" s="208" customFormat="1" x14ac:dyDescent="0.25"/>
    <row r="332" s="208" customFormat="1" x14ac:dyDescent="0.25"/>
    <row r="333" s="208" customFormat="1" x14ac:dyDescent="0.25"/>
    <row r="334" s="208" customFormat="1" x14ac:dyDescent="0.25"/>
    <row r="335" s="208" customFormat="1" x14ac:dyDescent="0.25"/>
    <row r="336" s="208" customFormat="1" x14ac:dyDescent="0.25"/>
    <row r="337" s="208" customFormat="1" x14ac:dyDescent="0.25"/>
    <row r="338" s="208" customFormat="1" x14ac:dyDescent="0.25"/>
    <row r="339" s="208" customFormat="1" x14ac:dyDescent="0.25"/>
    <row r="340" s="208" customFormat="1" x14ac:dyDescent="0.25"/>
    <row r="341" s="208" customFormat="1" x14ac:dyDescent="0.25"/>
    <row r="342" s="208" customFormat="1" x14ac:dyDescent="0.25"/>
    <row r="343" s="208" customFormat="1" x14ac:dyDescent="0.25"/>
    <row r="344" s="208" customFormat="1" x14ac:dyDescent="0.25"/>
    <row r="345" s="208" customFormat="1" x14ac:dyDescent="0.25"/>
    <row r="346" s="208" customFormat="1" x14ac:dyDescent="0.25"/>
    <row r="347" s="208" customFormat="1" x14ac:dyDescent="0.25"/>
    <row r="348" s="208" customFormat="1" x14ac:dyDescent="0.25"/>
    <row r="349" s="208" customFormat="1" x14ac:dyDescent="0.25"/>
    <row r="350" s="208" customFormat="1" x14ac:dyDescent="0.25"/>
    <row r="351" s="208" customFormat="1" x14ac:dyDescent="0.25"/>
    <row r="352" s="208" customFormat="1" x14ac:dyDescent="0.25"/>
    <row r="353" s="208" customFormat="1" x14ac:dyDescent="0.25"/>
    <row r="354" s="208" customFormat="1" x14ac:dyDescent="0.25"/>
    <row r="355" s="208" customFormat="1" x14ac:dyDescent="0.25"/>
    <row r="356" s="208" customFormat="1" x14ac:dyDescent="0.25"/>
    <row r="357" s="208" customFormat="1" x14ac:dyDescent="0.25"/>
    <row r="358" s="208" customFormat="1" x14ac:dyDescent="0.25"/>
    <row r="359" s="208" customFormat="1" x14ac:dyDescent="0.25"/>
    <row r="360" s="208" customFormat="1" x14ac:dyDescent="0.25"/>
    <row r="361" s="208" customFormat="1" x14ac:dyDescent="0.25"/>
    <row r="362" s="208" customFormat="1" x14ac:dyDescent="0.25"/>
    <row r="363" s="208" customFormat="1" x14ac:dyDescent="0.25"/>
    <row r="364" s="208" customFormat="1" x14ac:dyDescent="0.25"/>
    <row r="365" s="208" customFormat="1" x14ac:dyDescent="0.25"/>
    <row r="366" s="208" customFormat="1" x14ac:dyDescent="0.25"/>
    <row r="367" s="208" customFormat="1" x14ac:dyDescent="0.25"/>
    <row r="368" s="208" customFormat="1" x14ac:dyDescent="0.25"/>
    <row r="369" s="208" customFormat="1" x14ac:dyDescent="0.25"/>
    <row r="370" s="208" customFormat="1" x14ac:dyDescent="0.25"/>
    <row r="371" s="208" customFormat="1" x14ac:dyDescent="0.25"/>
    <row r="372" s="208" customFormat="1" x14ac:dyDescent="0.25"/>
    <row r="373" s="208" customFormat="1" x14ac:dyDescent="0.25"/>
    <row r="374" s="208" customFormat="1" x14ac:dyDescent="0.25"/>
    <row r="375" s="208" customFormat="1" x14ac:dyDescent="0.25"/>
    <row r="376" s="208" customFormat="1" x14ac:dyDescent="0.25"/>
    <row r="377" s="208" customFormat="1" x14ac:dyDescent="0.25"/>
    <row r="378" s="208" customFormat="1" x14ac:dyDescent="0.25"/>
    <row r="379" s="208" customFormat="1" x14ac:dyDescent="0.25"/>
    <row r="380" s="208" customFormat="1" x14ac:dyDescent="0.25"/>
    <row r="381" s="208" customFormat="1" x14ac:dyDescent="0.25"/>
    <row r="382" s="208" customFormat="1" x14ac:dyDescent="0.25"/>
    <row r="383" s="208" customFormat="1" x14ac:dyDescent="0.25"/>
    <row r="384" s="208" customFormat="1" x14ac:dyDescent="0.25"/>
    <row r="385" s="208" customFormat="1" x14ac:dyDescent="0.25"/>
    <row r="386" s="208" customFormat="1" x14ac:dyDescent="0.25"/>
    <row r="387" s="208" customFormat="1" x14ac:dyDescent="0.25"/>
    <row r="388" s="208" customFormat="1" x14ac:dyDescent="0.25"/>
    <row r="389" s="208" customFormat="1" x14ac:dyDescent="0.25"/>
    <row r="390" s="208" customFormat="1" x14ac:dyDescent="0.25"/>
    <row r="391" s="208" customFormat="1" x14ac:dyDescent="0.25"/>
    <row r="392" s="208" customFormat="1" x14ac:dyDescent="0.25"/>
    <row r="393" s="208" customFormat="1" x14ac:dyDescent="0.25"/>
    <row r="394" s="208" customFormat="1" x14ac:dyDescent="0.25"/>
    <row r="395" s="208" customFormat="1" x14ac:dyDescent="0.25"/>
    <row r="396" s="208" customFormat="1" x14ac:dyDescent="0.25"/>
    <row r="397" s="208" customFormat="1" x14ac:dyDescent="0.25"/>
    <row r="398" s="208" customFormat="1" x14ac:dyDescent="0.25"/>
    <row r="399" s="208" customFormat="1" x14ac:dyDescent="0.25"/>
  </sheetData>
  <mergeCells count="68">
    <mergeCell ref="AS252:AT252"/>
    <mergeCell ref="AS249:AT249"/>
    <mergeCell ref="AM250:AP250"/>
    <mergeCell ref="AQ250:AR250"/>
    <mergeCell ref="AS250:AT250"/>
    <mergeCell ref="AM251:AP251"/>
    <mergeCell ref="AQ251:AR251"/>
    <mergeCell ref="AS251:AT251"/>
    <mergeCell ref="AM252:AP252"/>
    <mergeCell ref="AQ252:AR252"/>
    <mergeCell ref="AM300:AP300"/>
    <mergeCell ref="AQ300:AR300"/>
    <mergeCell ref="AS300:AT300"/>
    <mergeCell ref="AM200:AP200"/>
    <mergeCell ref="AQ200:AR200"/>
    <mergeCell ref="AS200:AT200"/>
    <mergeCell ref="AS298:AT298"/>
    <mergeCell ref="AM201:AP201"/>
    <mergeCell ref="AQ201:AR201"/>
    <mergeCell ref="AS201:AT201"/>
    <mergeCell ref="AM297:AP297"/>
    <mergeCell ref="AM298:AP298"/>
    <mergeCell ref="AQ298:AR298"/>
    <mergeCell ref="AM299:AP299"/>
    <mergeCell ref="AM249:AP249"/>
    <mergeCell ref="AQ249:AR249"/>
    <mergeCell ref="AM199:AP199"/>
    <mergeCell ref="AQ199:AR199"/>
    <mergeCell ref="AS199:AT199"/>
    <mergeCell ref="AM148:AP148"/>
    <mergeCell ref="AQ148:AR148"/>
    <mergeCell ref="AS148:AT148"/>
    <mergeCell ref="AM149:AP149"/>
    <mergeCell ref="AQ149:AR149"/>
    <mergeCell ref="AS149:AT149"/>
    <mergeCell ref="AM150:AP150"/>
    <mergeCell ref="AQ150:AR150"/>
    <mergeCell ref="AS150:AT150"/>
    <mergeCell ref="AM198:AP198"/>
    <mergeCell ref="AQ198:AR198"/>
    <mergeCell ref="AS198:AT198"/>
    <mergeCell ref="AM97:AP97"/>
    <mergeCell ref="AQ97:AR97"/>
    <mergeCell ref="AS97:AT97"/>
    <mergeCell ref="AM98:AP98"/>
    <mergeCell ref="AQ98:AR98"/>
    <mergeCell ref="AS98:AT98"/>
    <mergeCell ref="AM99:AP99"/>
    <mergeCell ref="AQ99:AR99"/>
    <mergeCell ref="AS99:AT99"/>
    <mergeCell ref="AM147:AP147"/>
    <mergeCell ref="AQ147:AR147"/>
    <mergeCell ref="AS147:AT147"/>
    <mergeCell ref="AM96:AP96"/>
    <mergeCell ref="AQ96:AR96"/>
    <mergeCell ref="AS96:AT96"/>
    <mergeCell ref="AM48:AP48"/>
    <mergeCell ref="AQ48:AR48"/>
    <mergeCell ref="AS48:AT48"/>
    <mergeCell ref="AM49:AP49"/>
    <mergeCell ref="AQ49:AR49"/>
    <mergeCell ref="AS49:AT49"/>
    <mergeCell ref="AM46:AP46"/>
    <mergeCell ref="AQ46:AR46"/>
    <mergeCell ref="AS46:AT46"/>
    <mergeCell ref="AM47:AP47"/>
    <mergeCell ref="AQ47:AR47"/>
    <mergeCell ref="AS47:AT47"/>
  </mergeCells>
  <pageMargins left="0.25" right="0.25" top="0.75" bottom="0.75" header="0.3" footer="0.3"/>
  <pageSetup paperSize="9" scale="87" fitToHeight="0" orientation="portrait" r:id="rId1"/>
  <rowBreaks count="5" manualBreakCount="5">
    <brk id="50" max="85" man="1"/>
    <brk id="101" max="85" man="1"/>
    <brk id="152" max="85" man="1"/>
    <brk id="203" max="85" man="1"/>
    <brk id="254" max="85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BB6B-4591-4078-9E6D-CE6091B88150}">
  <sheetPr>
    <tabColor theme="0" tint="-0.249977111117893"/>
  </sheetPr>
  <dimension ref="A1:AR359"/>
  <sheetViews>
    <sheetView showRuler="0" topLeftCell="A5" workbookViewId="0">
      <selection activeCell="F28" sqref="F28"/>
    </sheetView>
  </sheetViews>
  <sheetFormatPr defaultColWidth="13.7109375" defaultRowHeight="12.75" x14ac:dyDescent="0.2"/>
  <cols>
    <col min="1" max="1" width="24" style="824" customWidth="1"/>
    <col min="2" max="2" width="13" style="824" customWidth="1"/>
    <col min="3" max="3" width="7.7109375" style="824" customWidth="1"/>
    <col min="4" max="4" width="10.7109375" style="824" customWidth="1"/>
    <col min="5" max="5" width="11" style="824" customWidth="1"/>
    <col min="6" max="14" width="10.7109375" style="824" customWidth="1"/>
    <col min="15" max="44" width="13.7109375" style="716"/>
    <col min="45" max="16384" width="13.7109375" style="824"/>
  </cols>
  <sheetData>
    <row r="1" spans="1:14" ht="15" customHeight="1" x14ac:dyDescent="0.25">
      <c r="A1" s="928" t="s">
        <v>278</v>
      </c>
      <c r="B1" s="928"/>
      <c r="C1" s="928"/>
      <c r="D1" s="928"/>
      <c r="E1" s="928"/>
      <c r="F1" s="928"/>
      <c r="G1" s="928"/>
      <c r="H1" s="928"/>
      <c r="I1" s="928"/>
      <c r="J1" s="928"/>
      <c r="K1" s="928"/>
      <c r="L1" s="928"/>
      <c r="M1" s="928"/>
      <c r="N1" s="928"/>
    </row>
    <row r="2" spans="1:14" ht="15" customHeight="1" x14ac:dyDescent="0.3">
      <c r="A2" s="717" t="s">
        <v>279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8"/>
    </row>
    <row r="3" spans="1:14" ht="24.2" customHeight="1" x14ac:dyDescent="0.2">
      <c r="A3" s="948"/>
      <c r="B3" s="948"/>
      <c r="C3" s="948"/>
      <c r="D3" s="948"/>
      <c r="E3" s="948"/>
      <c r="F3" s="948"/>
      <c r="G3" s="948"/>
      <c r="H3" s="948"/>
      <c r="I3" s="948"/>
      <c r="J3" s="948"/>
      <c r="K3" s="948"/>
      <c r="L3" s="948"/>
      <c r="M3" s="948"/>
      <c r="N3" s="948"/>
    </row>
    <row r="4" spans="1:14" ht="19.149999999999999" customHeight="1" x14ac:dyDescent="0.2">
      <c r="A4" s="719"/>
      <c r="B4" s="720"/>
      <c r="C4" s="721"/>
      <c r="D4" s="949" t="s">
        <v>280</v>
      </c>
      <c r="E4" s="722" t="s">
        <v>281</v>
      </c>
      <c r="F4" s="951" t="s">
        <v>282</v>
      </c>
      <c r="G4" s="952"/>
      <c r="H4" s="953"/>
      <c r="I4" s="954" t="s">
        <v>283</v>
      </c>
      <c r="J4" s="955"/>
      <c r="K4" s="954" t="s">
        <v>284</v>
      </c>
      <c r="L4" s="955"/>
      <c r="M4" s="724" t="s">
        <v>285</v>
      </c>
      <c r="N4" s="723" t="s">
        <v>286</v>
      </c>
    </row>
    <row r="5" spans="1:14" ht="19.149999999999999" customHeight="1" x14ac:dyDescent="0.2">
      <c r="A5" s="725"/>
      <c r="B5" s="725"/>
      <c r="C5" s="726"/>
      <c r="D5" s="950"/>
      <c r="E5" s="727" t="s">
        <v>287</v>
      </c>
      <c r="F5" s="728" t="s">
        <v>54</v>
      </c>
      <c r="G5" s="729" t="s">
        <v>288</v>
      </c>
      <c r="H5" s="730" t="s">
        <v>53</v>
      </c>
      <c r="I5" s="731" t="s">
        <v>288</v>
      </c>
      <c r="J5" s="732" t="s">
        <v>53</v>
      </c>
      <c r="K5" s="731" t="s">
        <v>288</v>
      </c>
      <c r="L5" s="732" t="s">
        <v>53</v>
      </c>
      <c r="M5" s="733" t="s">
        <v>53</v>
      </c>
      <c r="N5" s="731" t="s">
        <v>289</v>
      </c>
    </row>
    <row r="6" spans="1:14" ht="17.45" customHeight="1" x14ac:dyDescent="0.2">
      <c r="A6" s="936" t="s">
        <v>290</v>
      </c>
      <c r="B6" s="936"/>
      <c r="C6" s="936"/>
      <c r="D6" s="936"/>
      <c r="E6" s="936"/>
      <c r="F6" s="936"/>
      <c r="G6" s="936"/>
      <c r="H6" s="936"/>
      <c r="I6" s="936"/>
      <c r="J6" s="936"/>
      <c r="K6" s="936"/>
      <c r="L6" s="936"/>
      <c r="M6" s="936"/>
      <c r="N6" s="936"/>
    </row>
    <row r="7" spans="1:14" ht="15" customHeight="1" x14ac:dyDescent="0.2">
      <c r="A7" s="735" t="s">
        <v>291</v>
      </c>
      <c r="B7" s="735" t="s">
        <v>292</v>
      </c>
      <c r="C7" s="736" t="s">
        <v>293</v>
      </c>
      <c r="D7" s="737">
        <v>7722</v>
      </c>
      <c r="E7" s="737">
        <v>199</v>
      </c>
      <c r="F7" s="738">
        <v>7524</v>
      </c>
      <c r="G7" s="739">
        <v>4368</v>
      </c>
      <c r="H7" s="740">
        <v>3156</v>
      </c>
      <c r="I7" s="741">
        <v>2535</v>
      </c>
      <c r="J7" s="742">
        <v>876</v>
      </c>
      <c r="K7" s="741">
        <v>1475</v>
      </c>
      <c r="L7" s="742">
        <v>802</v>
      </c>
      <c r="M7" s="743">
        <v>1478</v>
      </c>
      <c r="N7" s="741">
        <v>357</v>
      </c>
    </row>
    <row r="8" spans="1:14" ht="15" customHeight="1" x14ac:dyDescent="0.2">
      <c r="A8" s="744"/>
      <c r="B8" s="744"/>
      <c r="C8" s="745" t="s">
        <v>294</v>
      </c>
      <c r="D8" s="746">
        <v>7889</v>
      </c>
      <c r="E8" s="746">
        <v>195</v>
      </c>
      <c r="F8" s="747">
        <v>7694</v>
      </c>
      <c r="G8" s="748">
        <v>4198</v>
      </c>
      <c r="H8" s="749">
        <v>3495</v>
      </c>
      <c r="I8" s="750">
        <v>2395</v>
      </c>
      <c r="J8" s="751">
        <v>1010</v>
      </c>
      <c r="K8" s="750">
        <v>1459</v>
      </c>
      <c r="L8" s="751">
        <v>807</v>
      </c>
      <c r="M8" s="752">
        <v>1677</v>
      </c>
      <c r="N8" s="750">
        <v>344</v>
      </c>
    </row>
    <row r="9" spans="1:14" ht="15" customHeight="1" x14ac:dyDescent="0.2">
      <c r="A9" s="735" t="s">
        <v>295</v>
      </c>
      <c r="B9" s="735" t="s">
        <v>296</v>
      </c>
      <c r="C9" s="736" t="s">
        <v>293</v>
      </c>
      <c r="D9" s="753">
        <v>2.5299999999999998</v>
      </c>
      <c r="E9" s="753">
        <v>11.62</v>
      </c>
      <c r="F9" s="754">
        <v>2.29</v>
      </c>
      <c r="G9" s="755">
        <v>3.29</v>
      </c>
      <c r="H9" s="756">
        <v>0.91</v>
      </c>
      <c r="I9" s="757">
        <v>3.03</v>
      </c>
      <c r="J9" s="758">
        <v>1.24</v>
      </c>
      <c r="K9" s="757">
        <v>3.75</v>
      </c>
      <c r="L9" s="758">
        <v>0.92</v>
      </c>
      <c r="M9" s="759">
        <v>0.7</v>
      </c>
      <c r="N9" s="757">
        <v>3.22</v>
      </c>
    </row>
    <row r="10" spans="1:14" ht="15" customHeight="1" x14ac:dyDescent="0.2">
      <c r="A10" s="744"/>
      <c r="B10" s="744"/>
      <c r="C10" s="745" t="s">
        <v>294</v>
      </c>
      <c r="D10" s="760">
        <v>2.41</v>
      </c>
      <c r="E10" s="760">
        <v>12.44</v>
      </c>
      <c r="F10" s="761">
        <v>2.16</v>
      </c>
      <c r="G10" s="762">
        <v>3.17</v>
      </c>
      <c r="H10" s="763">
        <v>0.94</v>
      </c>
      <c r="I10" s="764">
        <v>2.83</v>
      </c>
      <c r="J10" s="765">
        <v>1.24</v>
      </c>
      <c r="K10" s="764">
        <v>3.69</v>
      </c>
      <c r="L10" s="765">
        <v>0.92</v>
      </c>
      <c r="M10" s="766">
        <v>0.76</v>
      </c>
      <c r="N10" s="764">
        <v>3.34</v>
      </c>
    </row>
    <row r="11" spans="1:14" ht="15" customHeight="1" x14ac:dyDescent="0.2">
      <c r="A11" s="735" t="s">
        <v>235</v>
      </c>
      <c r="B11" s="735" t="s">
        <v>297</v>
      </c>
      <c r="C11" s="736" t="s">
        <v>293</v>
      </c>
      <c r="D11" s="753">
        <v>75.72</v>
      </c>
      <c r="E11" s="753">
        <v>90.89</v>
      </c>
      <c r="F11" s="754">
        <v>73.37</v>
      </c>
      <c r="G11" s="755">
        <v>84.37</v>
      </c>
      <c r="H11" s="767">
        <v>17.98</v>
      </c>
      <c r="I11" s="757">
        <v>84.1</v>
      </c>
      <c r="J11" s="758">
        <v>27.1</v>
      </c>
      <c r="K11" s="757">
        <v>86.98</v>
      </c>
      <c r="L11" s="758">
        <v>8.14</v>
      </c>
      <c r="M11" s="759">
        <v>15.64</v>
      </c>
      <c r="N11" s="757">
        <v>74.03</v>
      </c>
    </row>
    <row r="12" spans="1:14" ht="15.75" customHeight="1" x14ac:dyDescent="0.2">
      <c r="A12" s="744"/>
      <c r="B12" s="744"/>
      <c r="C12" s="745" t="s">
        <v>294</v>
      </c>
      <c r="D12" s="760">
        <v>73.849999999999994</v>
      </c>
      <c r="E12" s="760">
        <v>90.69</v>
      </c>
      <c r="F12" s="761">
        <v>71.73</v>
      </c>
      <c r="G12" s="762">
        <v>84.09</v>
      </c>
      <c r="H12" s="763">
        <v>22.19</v>
      </c>
      <c r="I12" s="764">
        <v>83.45</v>
      </c>
      <c r="J12" s="765">
        <v>33.909999999999997</v>
      </c>
      <c r="K12" s="764">
        <v>86.83</v>
      </c>
      <c r="L12" s="765">
        <v>8.6300000000000008</v>
      </c>
      <c r="M12" s="766">
        <v>18.829999999999998</v>
      </c>
      <c r="N12" s="764">
        <v>74.77</v>
      </c>
    </row>
    <row r="13" spans="1:14" ht="15" customHeight="1" x14ac:dyDescent="0.2">
      <c r="A13" s="735" t="s">
        <v>298</v>
      </c>
      <c r="B13" s="735" t="s">
        <v>296</v>
      </c>
      <c r="C13" s="736" t="s">
        <v>293</v>
      </c>
      <c r="D13" s="753">
        <v>1.92</v>
      </c>
      <c r="E13" s="753">
        <v>10.56</v>
      </c>
      <c r="F13" s="754">
        <v>1.68</v>
      </c>
      <c r="G13" s="755">
        <v>2.78</v>
      </c>
      <c r="H13" s="767">
        <v>0.16</v>
      </c>
      <c r="I13" s="768">
        <v>2.5499999999999998</v>
      </c>
      <c r="J13" s="758">
        <v>0.34</v>
      </c>
      <c r="K13" s="768">
        <v>3.26</v>
      </c>
      <c r="L13" s="758">
        <v>7.0000000000000007E-2</v>
      </c>
      <c r="M13" s="759">
        <v>0.11</v>
      </c>
      <c r="N13" s="757">
        <v>2.38</v>
      </c>
    </row>
    <row r="14" spans="1:14" ht="15.75" customHeight="1" x14ac:dyDescent="0.2">
      <c r="A14" s="744"/>
      <c r="B14" s="744"/>
      <c r="C14" s="745" t="s">
        <v>294</v>
      </c>
      <c r="D14" s="760">
        <v>1.78</v>
      </c>
      <c r="E14" s="760">
        <v>11.28</v>
      </c>
      <c r="F14" s="761">
        <v>1.55</v>
      </c>
      <c r="G14" s="762">
        <v>2.67</v>
      </c>
      <c r="H14" s="763">
        <v>0.21</v>
      </c>
      <c r="I14" s="764">
        <v>2.36</v>
      </c>
      <c r="J14" s="765">
        <v>0.42</v>
      </c>
      <c r="K14" s="764">
        <v>3.2</v>
      </c>
      <c r="L14" s="765">
        <v>0.08</v>
      </c>
      <c r="M14" s="766">
        <v>0.14000000000000001</v>
      </c>
      <c r="N14" s="764">
        <v>2.5</v>
      </c>
    </row>
    <row r="15" spans="1:14" ht="15.75" customHeight="1" x14ac:dyDescent="0.2">
      <c r="A15" s="735" t="s">
        <v>149</v>
      </c>
      <c r="B15" s="735" t="s">
        <v>299</v>
      </c>
      <c r="C15" s="736" t="s">
        <v>293</v>
      </c>
      <c r="D15" s="769">
        <v>475950</v>
      </c>
      <c r="E15" s="737">
        <v>69544</v>
      </c>
      <c r="F15" s="770">
        <v>406406</v>
      </c>
      <c r="G15" s="739">
        <v>389811</v>
      </c>
      <c r="H15" s="740">
        <v>16595</v>
      </c>
      <c r="I15" s="771">
        <v>207693</v>
      </c>
      <c r="J15" s="742">
        <v>9460</v>
      </c>
      <c r="K15" s="771">
        <v>154721</v>
      </c>
      <c r="L15" s="742">
        <v>1932</v>
      </c>
      <c r="M15" s="743">
        <v>5203</v>
      </c>
      <c r="N15" s="741">
        <v>27397</v>
      </c>
    </row>
    <row r="16" spans="1:14" ht="15.75" customHeight="1" x14ac:dyDescent="0.2">
      <c r="A16" s="744"/>
      <c r="B16" s="744"/>
      <c r="C16" s="745" t="s">
        <v>294</v>
      </c>
      <c r="D16" s="772">
        <v>451627</v>
      </c>
      <c r="E16" s="746">
        <v>68386</v>
      </c>
      <c r="F16" s="747">
        <v>383241</v>
      </c>
      <c r="G16" s="748">
        <v>359802</v>
      </c>
      <c r="H16" s="749">
        <v>23439</v>
      </c>
      <c r="I16" s="750">
        <v>181877</v>
      </c>
      <c r="J16" s="751">
        <v>13660</v>
      </c>
      <c r="K16" s="750">
        <v>150320</v>
      </c>
      <c r="L16" s="751">
        <v>2061</v>
      </c>
      <c r="M16" s="752">
        <v>7718</v>
      </c>
      <c r="N16" s="750">
        <v>27605</v>
      </c>
    </row>
    <row r="17" spans="1:14" ht="15" customHeight="1" x14ac:dyDescent="0.2">
      <c r="A17" s="735" t="s">
        <v>300</v>
      </c>
      <c r="B17" s="735" t="s">
        <v>299</v>
      </c>
      <c r="C17" s="736" t="s">
        <v>293</v>
      </c>
      <c r="D17" s="737">
        <v>489293</v>
      </c>
      <c r="E17" s="737">
        <v>63159</v>
      </c>
      <c r="F17" s="770">
        <v>426134</v>
      </c>
      <c r="G17" s="773"/>
      <c r="H17" s="774"/>
      <c r="I17" s="771">
        <v>175044</v>
      </c>
      <c r="J17" s="742">
        <v>12522</v>
      </c>
      <c r="K17" s="958">
        <v>203294</v>
      </c>
      <c r="L17" s="959"/>
      <c r="M17" s="743">
        <v>5203</v>
      </c>
      <c r="N17" s="741">
        <v>30071</v>
      </c>
    </row>
    <row r="18" spans="1:14" ht="15" customHeight="1" x14ac:dyDescent="0.2">
      <c r="A18" s="744"/>
      <c r="B18" s="744"/>
      <c r="C18" s="745" t="s">
        <v>294</v>
      </c>
      <c r="D18" s="746">
        <v>530353</v>
      </c>
      <c r="E18" s="746">
        <v>63536</v>
      </c>
      <c r="F18" s="747">
        <v>466817</v>
      </c>
      <c r="G18" s="775"/>
      <c r="H18" s="776"/>
      <c r="I18" s="750">
        <v>235508</v>
      </c>
      <c r="J18" s="751">
        <v>13093</v>
      </c>
      <c r="K18" s="960">
        <v>189109</v>
      </c>
      <c r="L18" s="961"/>
      <c r="M18" s="752">
        <v>7719</v>
      </c>
      <c r="N18" s="750">
        <v>21388</v>
      </c>
    </row>
    <row r="19" spans="1:14" ht="15" customHeight="1" x14ac:dyDescent="0.2">
      <c r="A19" s="936" t="s">
        <v>301</v>
      </c>
      <c r="B19" s="936"/>
      <c r="C19" s="936"/>
      <c r="D19" s="936"/>
      <c r="E19" s="936"/>
      <c r="F19" s="936"/>
      <c r="G19" s="936"/>
      <c r="H19" s="936"/>
      <c r="I19" s="936"/>
      <c r="J19" s="936"/>
      <c r="K19" s="936"/>
      <c r="L19" s="936"/>
      <c r="M19" s="936"/>
      <c r="N19" s="936"/>
    </row>
    <row r="20" spans="1:14" ht="15.75" customHeight="1" x14ac:dyDescent="0.2">
      <c r="A20" s="735" t="s">
        <v>302</v>
      </c>
      <c r="B20" s="735" t="s">
        <v>303</v>
      </c>
      <c r="C20" s="736" t="s">
        <v>293</v>
      </c>
      <c r="D20" s="737">
        <v>55275</v>
      </c>
      <c r="E20" s="737">
        <v>25116</v>
      </c>
      <c r="F20" s="770">
        <v>40967</v>
      </c>
      <c r="G20" s="777"/>
      <c r="H20" s="778"/>
      <c r="I20" s="741">
        <v>41280</v>
      </c>
      <c r="J20" s="742">
        <v>36987</v>
      </c>
      <c r="K20" s="958">
        <v>40919</v>
      </c>
      <c r="L20" s="959"/>
      <c r="M20" s="743">
        <v>38318</v>
      </c>
      <c r="N20" s="741">
        <v>36473</v>
      </c>
    </row>
    <row r="21" spans="1:14" ht="15" customHeight="1" x14ac:dyDescent="0.2">
      <c r="A21" s="779"/>
      <c r="B21" s="779"/>
      <c r="C21" s="780" t="s">
        <v>294</v>
      </c>
      <c r="D21" s="781">
        <v>44848</v>
      </c>
      <c r="E21" s="781">
        <v>29717</v>
      </c>
      <c r="F21" s="782">
        <v>46955</v>
      </c>
      <c r="G21" s="783"/>
      <c r="H21" s="784"/>
      <c r="I21" s="785">
        <v>47385</v>
      </c>
      <c r="J21" s="786">
        <v>42119</v>
      </c>
      <c r="K21" s="956">
        <v>47070</v>
      </c>
      <c r="L21" s="957"/>
      <c r="M21" s="787">
        <v>42169</v>
      </c>
      <c r="N21" s="785">
        <v>42033</v>
      </c>
    </row>
    <row r="22" spans="1:14" ht="15" customHeight="1" x14ac:dyDescent="0.2">
      <c r="A22" s="788"/>
      <c r="B22" s="779" t="s">
        <v>304</v>
      </c>
      <c r="C22" s="789" t="s">
        <v>293</v>
      </c>
      <c r="D22" s="790">
        <v>3354</v>
      </c>
      <c r="E22" s="790">
        <v>1524</v>
      </c>
      <c r="F22" s="791">
        <v>2486</v>
      </c>
      <c r="G22" s="792"/>
      <c r="H22" s="793"/>
      <c r="I22" s="794">
        <v>2505</v>
      </c>
      <c r="J22" s="795">
        <v>2244</v>
      </c>
      <c r="K22" s="962">
        <v>2483</v>
      </c>
      <c r="L22" s="963"/>
      <c r="M22" s="796">
        <v>2325</v>
      </c>
      <c r="N22" s="794">
        <v>2213</v>
      </c>
    </row>
    <row r="23" spans="1:14" ht="15.75" customHeight="1" x14ac:dyDescent="0.2">
      <c r="A23" s="744"/>
      <c r="B23" s="744"/>
      <c r="C23" s="745" t="s">
        <v>294</v>
      </c>
      <c r="D23" s="746">
        <v>2745</v>
      </c>
      <c r="E23" s="746">
        <v>1819</v>
      </c>
      <c r="F23" s="747">
        <v>2874</v>
      </c>
      <c r="G23" s="797"/>
      <c r="H23" s="798"/>
      <c r="I23" s="750">
        <v>2900</v>
      </c>
      <c r="J23" s="751">
        <v>2578</v>
      </c>
      <c r="K23" s="960">
        <v>2881</v>
      </c>
      <c r="L23" s="961"/>
      <c r="M23" s="752">
        <v>2581</v>
      </c>
      <c r="N23" s="750">
        <v>2572</v>
      </c>
    </row>
    <row r="24" spans="1:14" ht="15.75" customHeight="1" x14ac:dyDescent="0.2">
      <c r="A24" s="735" t="s">
        <v>305</v>
      </c>
      <c r="B24" s="735" t="s">
        <v>306</v>
      </c>
      <c r="C24" s="736" t="s">
        <v>293</v>
      </c>
      <c r="D24" s="737">
        <v>1671</v>
      </c>
      <c r="E24" s="737">
        <v>6255</v>
      </c>
      <c r="F24" s="770">
        <v>1544</v>
      </c>
      <c r="G24" s="777"/>
      <c r="H24" s="778"/>
      <c r="I24" s="771">
        <v>2360</v>
      </c>
      <c r="J24" s="799">
        <v>340</v>
      </c>
      <c r="K24" s="958">
        <v>2028</v>
      </c>
      <c r="L24" s="959"/>
      <c r="M24" s="743">
        <v>111</v>
      </c>
      <c r="N24" s="741">
        <v>1785</v>
      </c>
    </row>
    <row r="25" spans="1:14" ht="15" customHeight="1" x14ac:dyDescent="0.2">
      <c r="A25" s="779"/>
      <c r="B25" s="779"/>
      <c r="C25" s="780" t="s">
        <v>294</v>
      </c>
      <c r="D25" s="800">
        <v>1461</v>
      </c>
      <c r="E25" s="800">
        <v>6400</v>
      </c>
      <c r="F25" s="782">
        <v>1330</v>
      </c>
      <c r="G25" s="783"/>
      <c r="H25" s="784"/>
      <c r="I25" s="801">
        <v>2085</v>
      </c>
      <c r="J25" s="802">
        <v>327</v>
      </c>
      <c r="K25" s="956">
        <v>1882</v>
      </c>
      <c r="L25" s="957"/>
      <c r="M25" s="787">
        <v>109</v>
      </c>
      <c r="N25" s="785">
        <v>1658</v>
      </c>
    </row>
    <row r="26" spans="1:14" ht="15.75" customHeight="1" x14ac:dyDescent="0.2">
      <c r="A26" s="788"/>
      <c r="B26" s="779" t="s">
        <v>307</v>
      </c>
      <c r="C26" s="789" t="s">
        <v>293</v>
      </c>
      <c r="D26" s="790">
        <v>101</v>
      </c>
      <c r="E26" s="790">
        <v>380</v>
      </c>
      <c r="F26" s="791">
        <v>94</v>
      </c>
      <c r="G26" s="792"/>
      <c r="H26" s="803"/>
      <c r="I26" s="794">
        <v>143</v>
      </c>
      <c r="J26" s="795">
        <v>21</v>
      </c>
      <c r="K26" s="962">
        <v>123</v>
      </c>
      <c r="L26" s="963"/>
      <c r="M26" s="796">
        <v>7</v>
      </c>
      <c r="N26" s="794">
        <v>108</v>
      </c>
    </row>
    <row r="27" spans="1:14" ht="15.75" customHeight="1" x14ac:dyDescent="0.2">
      <c r="A27" s="788"/>
      <c r="B27" s="779"/>
      <c r="C27" s="780" t="s">
        <v>294</v>
      </c>
      <c r="D27" s="781">
        <v>89</v>
      </c>
      <c r="E27" s="781">
        <v>392</v>
      </c>
      <c r="F27" s="782">
        <v>81</v>
      </c>
      <c r="G27" s="783"/>
      <c r="H27" s="784"/>
      <c r="I27" s="785">
        <v>128</v>
      </c>
      <c r="J27" s="786">
        <v>20</v>
      </c>
      <c r="K27" s="956">
        <v>115</v>
      </c>
      <c r="L27" s="957"/>
      <c r="M27" s="787">
        <v>7</v>
      </c>
      <c r="N27" s="785">
        <v>101</v>
      </c>
    </row>
    <row r="28" spans="1:14" ht="15" customHeight="1" x14ac:dyDescent="0.2">
      <c r="A28" s="788"/>
      <c r="B28" s="779" t="s">
        <v>308</v>
      </c>
      <c r="C28" s="789" t="s">
        <v>293</v>
      </c>
      <c r="D28" s="804">
        <v>27437</v>
      </c>
      <c r="E28" s="804">
        <v>17859</v>
      </c>
      <c r="F28" s="805">
        <v>29195</v>
      </c>
      <c r="G28" s="792"/>
      <c r="H28" s="803"/>
      <c r="I28" s="806">
        <v>28812</v>
      </c>
      <c r="J28" s="807">
        <v>31501</v>
      </c>
      <c r="K28" s="962">
        <v>29486</v>
      </c>
      <c r="L28" s="963"/>
      <c r="M28" s="808">
        <v>31520</v>
      </c>
      <c r="N28" s="806">
        <v>23287</v>
      </c>
    </row>
    <row r="29" spans="1:14" ht="15" customHeight="1" x14ac:dyDescent="0.2">
      <c r="A29" s="788"/>
      <c r="B29" s="779"/>
      <c r="C29" s="780" t="s">
        <v>294</v>
      </c>
      <c r="D29" s="800">
        <v>25994</v>
      </c>
      <c r="E29" s="800">
        <v>18264</v>
      </c>
      <c r="F29" s="809">
        <v>27480</v>
      </c>
      <c r="G29" s="783"/>
      <c r="H29" s="784"/>
      <c r="I29" s="801">
        <v>27464</v>
      </c>
      <c r="J29" s="802">
        <v>24158</v>
      </c>
      <c r="K29" s="956">
        <v>27996</v>
      </c>
      <c r="L29" s="957"/>
      <c r="M29" s="810">
        <v>23581</v>
      </c>
      <c r="N29" s="801">
        <v>20648</v>
      </c>
    </row>
    <row r="30" spans="1:14" ht="15" customHeight="1" x14ac:dyDescent="0.2">
      <c r="A30" s="788"/>
      <c r="B30" s="779" t="s">
        <v>304</v>
      </c>
      <c r="C30" s="789" t="s">
        <v>293</v>
      </c>
      <c r="D30" s="790">
        <v>1665</v>
      </c>
      <c r="E30" s="790">
        <v>1084</v>
      </c>
      <c r="F30" s="791">
        <v>1772</v>
      </c>
      <c r="G30" s="792"/>
      <c r="H30" s="803"/>
      <c r="I30" s="794">
        <v>1748</v>
      </c>
      <c r="J30" s="795">
        <v>1911</v>
      </c>
      <c r="K30" s="962">
        <v>1789</v>
      </c>
      <c r="L30" s="963"/>
      <c r="M30" s="796">
        <v>1913</v>
      </c>
      <c r="N30" s="794">
        <v>1413</v>
      </c>
    </row>
    <row r="31" spans="1:14" ht="15" customHeight="1" x14ac:dyDescent="0.2">
      <c r="A31" s="744"/>
      <c r="B31" s="744"/>
      <c r="C31" s="745" t="s">
        <v>294</v>
      </c>
      <c r="D31" s="746">
        <v>1591</v>
      </c>
      <c r="E31" s="746">
        <v>1118</v>
      </c>
      <c r="F31" s="747">
        <v>1682</v>
      </c>
      <c r="G31" s="797"/>
      <c r="H31" s="811"/>
      <c r="I31" s="750">
        <v>1681</v>
      </c>
      <c r="J31" s="751">
        <v>1478</v>
      </c>
      <c r="K31" s="960">
        <v>1713</v>
      </c>
      <c r="L31" s="961"/>
      <c r="M31" s="752">
        <v>1443</v>
      </c>
      <c r="N31" s="750">
        <v>1264</v>
      </c>
    </row>
    <row r="32" spans="1:14" ht="15" customHeight="1" x14ac:dyDescent="0.2">
      <c r="A32" s="812" t="s">
        <v>309</v>
      </c>
      <c r="B32" s="735" t="s">
        <v>303</v>
      </c>
      <c r="C32" s="736" t="s">
        <v>293</v>
      </c>
      <c r="D32" s="813">
        <v>27043</v>
      </c>
      <c r="E32" s="737">
        <v>23093</v>
      </c>
      <c r="F32" s="814">
        <v>27767</v>
      </c>
      <c r="G32" s="777"/>
      <c r="H32" s="778"/>
      <c r="I32" s="958">
        <v>28045</v>
      </c>
      <c r="J32" s="959"/>
      <c r="K32" s="958">
        <v>27456</v>
      </c>
      <c r="L32" s="959"/>
      <c r="M32" s="815">
        <v>25562</v>
      </c>
      <c r="N32" s="771">
        <v>25331</v>
      </c>
    </row>
    <row r="33" spans="1:14" ht="15" customHeight="1" x14ac:dyDescent="0.2">
      <c r="A33" s="816"/>
      <c r="B33" s="779"/>
      <c r="C33" s="780" t="s">
        <v>294</v>
      </c>
      <c r="D33" s="800">
        <v>24060</v>
      </c>
      <c r="E33" s="781">
        <v>21101</v>
      </c>
      <c r="F33" s="782">
        <v>24629</v>
      </c>
      <c r="G33" s="783"/>
      <c r="H33" s="784"/>
      <c r="I33" s="956">
        <v>24839</v>
      </c>
      <c r="J33" s="957"/>
      <c r="K33" s="956">
        <v>24760</v>
      </c>
      <c r="L33" s="957"/>
      <c r="M33" s="810">
        <v>16844</v>
      </c>
      <c r="N33" s="801">
        <v>22750</v>
      </c>
    </row>
    <row r="34" spans="1:14" ht="15" customHeight="1" x14ac:dyDescent="0.2">
      <c r="A34" s="788"/>
      <c r="B34" s="779" t="s">
        <v>310</v>
      </c>
      <c r="C34" s="789" t="s">
        <v>293</v>
      </c>
      <c r="D34" s="790">
        <v>1641</v>
      </c>
      <c r="E34" s="790">
        <v>1401</v>
      </c>
      <c r="F34" s="791">
        <v>1685</v>
      </c>
      <c r="G34" s="792"/>
      <c r="H34" s="803"/>
      <c r="I34" s="962">
        <v>1702</v>
      </c>
      <c r="J34" s="963"/>
      <c r="K34" s="962">
        <v>1666</v>
      </c>
      <c r="L34" s="963"/>
      <c r="M34" s="796">
        <v>1551</v>
      </c>
      <c r="N34" s="806">
        <v>1537</v>
      </c>
    </row>
    <row r="35" spans="1:14" ht="15" customHeight="1" x14ac:dyDescent="0.2">
      <c r="A35" s="744"/>
      <c r="B35" s="744"/>
      <c r="C35" s="745" t="s">
        <v>294</v>
      </c>
      <c r="D35" s="746">
        <v>1472</v>
      </c>
      <c r="E35" s="746">
        <v>1291</v>
      </c>
      <c r="F35" s="747">
        <v>1507</v>
      </c>
      <c r="G35" s="797"/>
      <c r="H35" s="811"/>
      <c r="I35" s="960">
        <v>1520</v>
      </c>
      <c r="J35" s="961"/>
      <c r="K35" s="960">
        <v>1515</v>
      </c>
      <c r="L35" s="961"/>
      <c r="M35" s="752">
        <v>1031</v>
      </c>
      <c r="N35" s="817">
        <v>1392</v>
      </c>
    </row>
    <row r="36" spans="1:14" ht="15" customHeight="1" x14ac:dyDescent="0.2">
      <c r="A36" s="812" t="s">
        <v>311</v>
      </c>
      <c r="B36" s="735" t="s">
        <v>308</v>
      </c>
      <c r="C36" s="736" t="s">
        <v>293</v>
      </c>
      <c r="D36" s="813">
        <v>27629</v>
      </c>
      <c r="E36" s="737">
        <v>24100</v>
      </c>
      <c r="F36" s="814">
        <v>28276</v>
      </c>
      <c r="G36" s="773"/>
      <c r="H36" s="774"/>
      <c r="I36" s="958">
        <v>28404</v>
      </c>
      <c r="J36" s="959"/>
      <c r="K36" s="958">
        <v>28190</v>
      </c>
      <c r="L36" s="959"/>
      <c r="M36" s="815">
        <v>25562</v>
      </c>
      <c r="N36" s="771">
        <v>25331</v>
      </c>
    </row>
    <row r="37" spans="1:14" ht="15.75" customHeight="1" x14ac:dyDescent="0.2">
      <c r="A37" s="816"/>
      <c r="B37" s="779"/>
      <c r="C37" s="780" t="s">
        <v>294</v>
      </c>
      <c r="D37" s="800">
        <v>24367</v>
      </c>
      <c r="E37" s="781">
        <v>21130</v>
      </c>
      <c r="F37" s="809">
        <v>24989</v>
      </c>
      <c r="G37" s="818"/>
      <c r="H37" s="819"/>
      <c r="I37" s="956">
        <v>24967</v>
      </c>
      <c r="J37" s="957"/>
      <c r="K37" s="956">
        <v>25423</v>
      </c>
      <c r="L37" s="957"/>
      <c r="M37" s="810">
        <v>16844</v>
      </c>
      <c r="N37" s="801">
        <v>22750</v>
      </c>
    </row>
    <row r="38" spans="1:14" ht="15" customHeight="1" x14ac:dyDescent="0.2">
      <c r="A38" s="820"/>
      <c r="B38" s="779" t="s">
        <v>312</v>
      </c>
      <c r="C38" s="789" t="s">
        <v>293</v>
      </c>
      <c r="D38" s="790">
        <v>1677</v>
      </c>
      <c r="E38" s="790">
        <v>1462</v>
      </c>
      <c r="F38" s="791">
        <v>1716</v>
      </c>
      <c r="G38" s="821"/>
      <c r="H38" s="822"/>
      <c r="I38" s="962">
        <v>1724</v>
      </c>
      <c r="J38" s="963"/>
      <c r="K38" s="962">
        <v>1711</v>
      </c>
      <c r="L38" s="963"/>
      <c r="M38" s="796">
        <v>1551</v>
      </c>
      <c r="N38" s="794">
        <v>1537</v>
      </c>
    </row>
    <row r="39" spans="1:14" ht="15" customHeight="1" x14ac:dyDescent="0.2">
      <c r="A39" s="816"/>
      <c r="B39" s="779"/>
      <c r="C39" s="780" t="s">
        <v>294</v>
      </c>
      <c r="D39" s="746">
        <v>1491</v>
      </c>
      <c r="E39" s="746">
        <v>1293</v>
      </c>
      <c r="F39" s="747">
        <v>1529</v>
      </c>
      <c r="G39" s="775"/>
      <c r="H39" s="776"/>
      <c r="I39" s="960">
        <v>1528</v>
      </c>
      <c r="J39" s="961"/>
      <c r="K39" s="960">
        <v>1556</v>
      </c>
      <c r="L39" s="961"/>
      <c r="M39" s="752">
        <v>1031</v>
      </c>
      <c r="N39" s="750">
        <v>1392</v>
      </c>
    </row>
    <row r="40" spans="1:14" ht="15" customHeight="1" x14ac:dyDescent="0.2">
      <c r="A40" s="965" t="s">
        <v>313</v>
      </c>
      <c r="B40" s="965"/>
      <c r="C40" s="965"/>
      <c r="D40" s="936"/>
      <c r="E40" s="936"/>
      <c r="F40" s="936"/>
      <c r="G40" s="936"/>
      <c r="H40" s="936"/>
      <c r="I40" s="936"/>
      <c r="J40" s="936"/>
      <c r="K40" s="936"/>
      <c r="L40" s="936"/>
      <c r="M40" s="936"/>
      <c r="N40" s="936"/>
    </row>
    <row r="41" spans="1:14" ht="15" customHeight="1" x14ac:dyDescent="0.2">
      <c r="A41" s="735" t="s">
        <v>59</v>
      </c>
      <c r="B41" s="735" t="s">
        <v>314</v>
      </c>
      <c r="C41" s="736" t="s">
        <v>293</v>
      </c>
      <c r="D41" s="737">
        <v>984</v>
      </c>
      <c r="E41" s="737">
        <v>362</v>
      </c>
      <c r="F41" s="770">
        <v>622</v>
      </c>
      <c r="G41" s="773"/>
      <c r="H41" s="774"/>
      <c r="I41" s="958">
        <v>210</v>
      </c>
      <c r="J41" s="959"/>
      <c r="K41" s="958">
        <v>412</v>
      </c>
      <c r="L41" s="966"/>
      <c r="M41" s="743">
        <v>0</v>
      </c>
      <c r="N41" s="741">
        <v>0</v>
      </c>
    </row>
    <row r="42" spans="1:14" ht="15" customHeight="1" x14ac:dyDescent="0.2">
      <c r="A42" s="779"/>
      <c r="B42" s="779"/>
      <c r="C42" s="780" t="s">
        <v>294</v>
      </c>
      <c r="D42" s="781">
        <v>885</v>
      </c>
      <c r="E42" s="781">
        <v>327</v>
      </c>
      <c r="F42" s="782">
        <v>558</v>
      </c>
      <c r="G42" s="818"/>
      <c r="H42" s="819"/>
      <c r="I42" s="956">
        <v>177</v>
      </c>
      <c r="J42" s="957"/>
      <c r="K42" s="956">
        <v>381</v>
      </c>
      <c r="L42" s="964"/>
      <c r="M42" s="787">
        <v>0</v>
      </c>
      <c r="N42" s="785">
        <v>0</v>
      </c>
    </row>
    <row r="43" spans="1:14" ht="15.75" customHeight="1" x14ac:dyDescent="0.2">
      <c r="A43" s="779" t="s">
        <v>315</v>
      </c>
      <c r="B43" s="779" t="s">
        <v>314</v>
      </c>
      <c r="C43" s="789" t="s">
        <v>293</v>
      </c>
      <c r="D43" s="790">
        <v>836</v>
      </c>
      <c r="E43" s="790">
        <v>143</v>
      </c>
      <c r="F43" s="791">
        <v>693</v>
      </c>
      <c r="G43" s="821"/>
      <c r="H43" s="822"/>
      <c r="I43" s="962">
        <v>395</v>
      </c>
      <c r="J43" s="963"/>
      <c r="K43" s="962">
        <v>297</v>
      </c>
      <c r="L43" s="967"/>
      <c r="M43" s="796">
        <v>1</v>
      </c>
      <c r="N43" s="794">
        <v>132</v>
      </c>
    </row>
    <row r="44" spans="1:14" ht="15" customHeight="1" x14ac:dyDescent="0.2">
      <c r="A44" s="779"/>
      <c r="B44" s="779"/>
      <c r="C44" s="780" t="s">
        <v>294</v>
      </c>
      <c r="D44" s="781">
        <v>531</v>
      </c>
      <c r="E44" s="781">
        <v>84</v>
      </c>
      <c r="F44" s="782">
        <v>447</v>
      </c>
      <c r="G44" s="818"/>
      <c r="H44" s="819"/>
      <c r="I44" s="956">
        <v>252</v>
      </c>
      <c r="J44" s="957"/>
      <c r="K44" s="956">
        <v>194</v>
      </c>
      <c r="L44" s="964"/>
      <c r="M44" s="787">
        <v>1</v>
      </c>
      <c r="N44" s="785">
        <v>113</v>
      </c>
    </row>
    <row r="45" spans="1:14" ht="15" customHeight="1" x14ac:dyDescent="0.2">
      <c r="A45" s="779" t="s">
        <v>316</v>
      </c>
      <c r="B45" s="779" t="s">
        <v>314</v>
      </c>
      <c r="C45" s="789" t="s">
        <v>293</v>
      </c>
      <c r="D45" s="790">
        <v>252</v>
      </c>
      <c r="E45" s="790">
        <v>59</v>
      </c>
      <c r="F45" s="791">
        <v>193</v>
      </c>
      <c r="G45" s="821"/>
      <c r="H45" s="822"/>
      <c r="I45" s="962">
        <v>78</v>
      </c>
      <c r="J45" s="963"/>
      <c r="K45" s="962">
        <v>115</v>
      </c>
      <c r="L45" s="967"/>
      <c r="M45" s="796">
        <v>0</v>
      </c>
      <c r="N45" s="794">
        <v>0</v>
      </c>
    </row>
    <row r="46" spans="1:14" ht="15" customHeight="1" x14ac:dyDescent="0.2">
      <c r="A46" s="779"/>
      <c r="B46" s="779"/>
      <c r="C46" s="780" t="s">
        <v>294</v>
      </c>
      <c r="D46" s="781">
        <v>130</v>
      </c>
      <c r="E46" s="781">
        <v>2</v>
      </c>
      <c r="F46" s="782">
        <v>128</v>
      </c>
      <c r="G46" s="818"/>
      <c r="H46" s="819"/>
      <c r="I46" s="956">
        <v>25</v>
      </c>
      <c r="J46" s="957"/>
      <c r="K46" s="956">
        <v>101</v>
      </c>
      <c r="L46" s="964"/>
      <c r="M46" s="787">
        <v>0</v>
      </c>
      <c r="N46" s="785">
        <v>0</v>
      </c>
    </row>
    <row r="47" spans="1:14" ht="15" customHeight="1" x14ac:dyDescent="0.2">
      <c r="A47" s="779" t="s">
        <v>94</v>
      </c>
      <c r="B47" s="779" t="s">
        <v>314</v>
      </c>
      <c r="C47" s="789" t="s">
        <v>293</v>
      </c>
      <c r="D47" s="790">
        <v>2072</v>
      </c>
      <c r="E47" s="790">
        <v>564</v>
      </c>
      <c r="F47" s="791">
        <v>1508</v>
      </c>
      <c r="G47" s="821"/>
      <c r="H47" s="822"/>
      <c r="I47" s="962">
        <v>683</v>
      </c>
      <c r="J47" s="963"/>
      <c r="K47" s="962">
        <v>824</v>
      </c>
      <c r="L47" s="967"/>
      <c r="M47" s="796">
        <v>1</v>
      </c>
      <c r="N47" s="794">
        <v>132</v>
      </c>
    </row>
    <row r="48" spans="1:14" ht="15" customHeight="1" x14ac:dyDescent="0.2">
      <c r="A48" s="779"/>
      <c r="B48" s="779"/>
      <c r="C48" s="780" t="s">
        <v>294</v>
      </c>
      <c r="D48" s="781">
        <v>1546</v>
      </c>
      <c r="E48" s="781">
        <v>413</v>
      </c>
      <c r="F48" s="782">
        <v>1133</v>
      </c>
      <c r="G48" s="818"/>
      <c r="H48" s="819"/>
      <c r="I48" s="956">
        <v>454</v>
      </c>
      <c r="J48" s="957"/>
      <c r="K48" s="956">
        <v>676</v>
      </c>
      <c r="L48" s="964"/>
      <c r="M48" s="787">
        <v>1</v>
      </c>
      <c r="N48" s="785">
        <v>113</v>
      </c>
    </row>
    <row r="49" spans="1:14" ht="15" customHeight="1" x14ac:dyDescent="0.2">
      <c r="A49" s="788"/>
      <c r="B49" s="779" t="s">
        <v>317</v>
      </c>
      <c r="C49" s="789" t="s">
        <v>293</v>
      </c>
      <c r="D49" s="790">
        <v>126</v>
      </c>
      <c r="E49" s="790">
        <v>34</v>
      </c>
      <c r="F49" s="791">
        <v>92</v>
      </c>
      <c r="G49" s="821"/>
      <c r="H49" s="822"/>
      <c r="I49" s="962">
        <v>41</v>
      </c>
      <c r="J49" s="963"/>
      <c r="K49" s="962">
        <v>50</v>
      </c>
      <c r="L49" s="967"/>
      <c r="M49" s="796">
        <v>0</v>
      </c>
      <c r="N49" s="794">
        <v>8</v>
      </c>
    </row>
    <row r="50" spans="1:14" ht="15" customHeight="1" x14ac:dyDescent="0.2">
      <c r="A50" s="744"/>
      <c r="B50" s="744"/>
      <c r="C50" s="745" t="s">
        <v>294</v>
      </c>
      <c r="D50" s="746">
        <v>95</v>
      </c>
      <c r="E50" s="746">
        <v>25</v>
      </c>
      <c r="F50" s="747">
        <v>69</v>
      </c>
      <c r="G50" s="775"/>
      <c r="H50" s="776"/>
      <c r="I50" s="960">
        <v>28</v>
      </c>
      <c r="J50" s="961"/>
      <c r="K50" s="960">
        <v>41</v>
      </c>
      <c r="L50" s="968"/>
      <c r="M50" s="752">
        <v>0</v>
      </c>
      <c r="N50" s="750">
        <v>7</v>
      </c>
    </row>
    <row r="51" spans="1:14" s="716" customFormat="1" x14ac:dyDescent="0.2"/>
    <row r="52" spans="1:14" s="716" customFormat="1" x14ac:dyDescent="0.2"/>
    <row r="53" spans="1:14" s="716" customFormat="1" x14ac:dyDescent="0.2"/>
    <row r="54" spans="1:14" s="716" customFormat="1" x14ac:dyDescent="0.2"/>
    <row r="55" spans="1:14" s="716" customFormat="1" x14ac:dyDescent="0.2"/>
    <row r="56" spans="1:14" s="716" customFormat="1" x14ac:dyDescent="0.2"/>
    <row r="57" spans="1:14" s="716" customFormat="1" x14ac:dyDescent="0.2"/>
    <row r="58" spans="1:14" s="716" customFormat="1" x14ac:dyDescent="0.2"/>
    <row r="59" spans="1:14" s="716" customFormat="1" x14ac:dyDescent="0.2"/>
    <row r="60" spans="1:14" s="716" customFormat="1" x14ac:dyDescent="0.2"/>
    <row r="61" spans="1:14" s="716" customFormat="1" x14ac:dyDescent="0.2"/>
    <row r="62" spans="1:14" s="716" customFormat="1" x14ac:dyDescent="0.2"/>
    <row r="63" spans="1:14" s="716" customFormat="1" x14ac:dyDescent="0.2"/>
    <row r="64" spans="1:14" s="716" customFormat="1" x14ac:dyDescent="0.2"/>
    <row r="65" s="716" customFormat="1" x14ac:dyDescent="0.2"/>
    <row r="66" s="716" customFormat="1" x14ac:dyDescent="0.2"/>
    <row r="67" s="716" customFormat="1" x14ac:dyDescent="0.2"/>
    <row r="68" s="716" customFormat="1" x14ac:dyDescent="0.2"/>
    <row r="69" s="716" customFormat="1" x14ac:dyDescent="0.2"/>
    <row r="70" s="716" customFormat="1" x14ac:dyDescent="0.2"/>
    <row r="71" s="716" customFormat="1" x14ac:dyDescent="0.2"/>
    <row r="72" s="716" customFormat="1" x14ac:dyDescent="0.2"/>
    <row r="73" s="716" customFormat="1" x14ac:dyDescent="0.2"/>
    <row r="74" s="716" customFormat="1" x14ac:dyDescent="0.2"/>
    <row r="75" s="716" customFormat="1" x14ac:dyDescent="0.2"/>
    <row r="76" s="716" customFormat="1" x14ac:dyDescent="0.2"/>
    <row r="77" s="716" customFormat="1" x14ac:dyDescent="0.2"/>
    <row r="78" s="716" customFormat="1" x14ac:dyDescent="0.2"/>
    <row r="79" s="716" customFormat="1" x14ac:dyDescent="0.2"/>
    <row r="80" s="716" customFormat="1" x14ac:dyDescent="0.2"/>
    <row r="81" s="716" customFormat="1" x14ac:dyDescent="0.2"/>
    <row r="82" s="716" customFormat="1" x14ac:dyDescent="0.2"/>
    <row r="83" s="716" customFormat="1" x14ac:dyDescent="0.2"/>
    <row r="84" s="716" customFormat="1" x14ac:dyDescent="0.2"/>
    <row r="85" s="716" customFormat="1" x14ac:dyDescent="0.2"/>
    <row r="86" s="716" customFormat="1" x14ac:dyDescent="0.2"/>
    <row r="87" s="716" customFormat="1" x14ac:dyDescent="0.2"/>
    <row r="88" s="716" customFormat="1" x14ac:dyDescent="0.2"/>
    <row r="89" s="716" customFormat="1" x14ac:dyDescent="0.2"/>
    <row r="90" s="716" customFormat="1" x14ac:dyDescent="0.2"/>
    <row r="91" s="716" customFormat="1" x14ac:dyDescent="0.2"/>
    <row r="92" s="716" customFormat="1" x14ac:dyDescent="0.2"/>
    <row r="93" s="716" customFormat="1" x14ac:dyDescent="0.2"/>
    <row r="94" s="716" customFormat="1" x14ac:dyDescent="0.2"/>
    <row r="95" s="716" customFormat="1" x14ac:dyDescent="0.2"/>
    <row r="96" s="716" customFormat="1" x14ac:dyDescent="0.2"/>
    <row r="97" s="716" customFormat="1" x14ac:dyDescent="0.2"/>
    <row r="98" s="716" customFormat="1" x14ac:dyDescent="0.2"/>
    <row r="99" s="716" customFormat="1" x14ac:dyDescent="0.2"/>
    <row r="100" s="716" customFormat="1" x14ac:dyDescent="0.2"/>
    <row r="101" s="716" customFormat="1" x14ac:dyDescent="0.2"/>
    <row r="102" s="716" customFormat="1" x14ac:dyDescent="0.2"/>
    <row r="103" s="716" customFormat="1" x14ac:dyDescent="0.2"/>
    <row r="104" s="716" customFormat="1" x14ac:dyDescent="0.2"/>
    <row r="105" s="716" customFormat="1" x14ac:dyDescent="0.2"/>
    <row r="106" s="716" customFormat="1" x14ac:dyDescent="0.2"/>
    <row r="107" s="716" customFormat="1" x14ac:dyDescent="0.2"/>
    <row r="108" s="716" customFormat="1" x14ac:dyDescent="0.2"/>
    <row r="109" s="716" customFormat="1" x14ac:dyDescent="0.2"/>
    <row r="110" s="716" customFormat="1" x14ac:dyDescent="0.2"/>
    <row r="111" s="716" customFormat="1" x14ac:dyDescent="0.2"/>
    <row r="112" s="716" customFormat="1" x14ac:dyDescent="0.2"/>
    <row r="113" s="716" customFormat="1" x14ac:dyDescent="0.2"/>
    <row r="114" s="716" customFormat="1" x14ac:dyDescent="0.2"/>
    <row r="115" s="716" customFormat="1" x14ac:dyDescent="0.2"/>
    <row r="116" s="716" customFormat="1" x14ac:dyDescent="0.2"/>
    <row r="117" s="716" customFormat="1" x14ac:dyDescent="0.2"/>
    <row r="118" s="716" customFormat="1" x14ac:dyDescent="0.2"/>
    <row r="119" s="716" customFormat="1" x14ac:dyDescent="0.2"/>
    <row r="120" s="716" customFormat="1" x14ac:dyDescent="0.2"/>
    <row r="121" s="716" customFormat="1" x14ac:dyDescent="0.2"/>
    <row r="122" s="716" customFormat="1" x14ac:dyDescent="0.2"/>
    <row r="123" s="716" customFormat="1" x14ac:dyDescent="0.2"/>
    <row r="124" s="716" customFormat="1" x14ac:dyDescent="0.2"/>
    <row r="125" s="716" customFormat="1" x14ac:dyDescent="0.2"/>
    <row r="126" s="716" customFormat="1" x14ac:dyDescent="0.2"/>
    <row r="127" s="716" customFormat="1" x14ac:dyDescent="0.2"/>
    <row r="128" s="716" customFormat="1" x14ac:dyDescent="0.2"/>
    <row r="129" s="716" customFormat="1" x14ac:dyDescent="0.2"/>
    <row r="130" s="716" customFormat="1" x14ac:dyDescent="0.2"/>
    <row r="131" s="716" customFormat="1" x14ac:dyDescent="0.2"/>
    <row r="132" s="716" customFormat="1" x14ac:dyDescent="0.2"/>
    <row r="133" s="716" customFormat="1" x14ac:dyDescent="0.2"/>
    <row r="134" s="716" customFormat="1" x14ac:dyDescent="0.2"/>
    <row r="135" s="716" customFormat="1" x14ac:dyDescent="0.2"/>
    <row r="136" s="716" customFormat="1" x14ac:dyDescent="0.2"/>
    <row r="137" s="716" customFormat="1" x14ac:dyDescent="0.2"/>
    <row r="138" s="716" customFormat="1" x14ac:dyDescent="0.2"/>
    <row r="139" s="716" customFormat="1" x14ac:dyDescent="0.2"/>
    <row r="140" s="716" customFormat="1" x14ac:dyDescent="0.2"/>
    <row r="141" s="716" customFormat="1" x14ac:dyDescent="0.2"/>
    <row r="142" s="716" customFormat="1" x14ac:dyDescent="0.2"/>
    <row r="143" s="716" customFormat="1" x14ac:dyDescent="0.2"/>
    <row r="144" s="716" customFormat="1" x14ac:dyDescent="0.2"/>
    <row r="145" s="716" customFormat="1" x14ac:dyDescent="0.2"/>
    <row r="146" s="716" customFormat="1" x14ac:dyDescent="0.2"/>
    <row r="147" s="716" customFormat="1" x14ac:dyDescent="0.2"/>
    <row r="148" s="716" customFormat="1" x14ac:dyDescent="0.2"/>
    <row r="149" s="716" customFormat="1" x14ac:dyDescent="0.2"/>
    <row r="150" s="716" customFormat="1" x14ac:dyDescent="0.2"/>
    <row r="151" s="716" customFormat="1" x14ac:dyDescent="0.2"/>
    <row r="152" s="716" customFormat="1" x14ac:dyDescent="0.2"/>
    <row r="153" s="716" customFormat="1" x14ac:dyDescent="0.2"/>
    <row r="154" s="716" customFormat="1" x14ac:dyDescent="0.2"/>
    <row r="155" s="716" customFormat="1" x14ac:dyDescent="0.2"/>
    <row r="156" s="716" customFormat="1" x14ac:dyDescent="0.2"/>
    <row r="157" s="716" customFormat="1" x14ac:dyDescent="0.2"/>
    <row r="158" s="716" customFormat="1" x14ac:dyDescent="0.2"/>
    <row r="159" s="716" customFormat="1" x14ac:dyDescent="0.2"/>
    <row r="160" s="716" customFormat="1" x14ac:dyDescent="0.2"/>
    <row r="161" s="716" customFormat="1" x14ac:dyDescent="0.2"/>
    <row r="162" s="716" customFormat="1" x14ac:dyDescent="0.2"/>
    <row r="163" s="716" customFormat="1" x14ac:dyDescent="0.2"/>
    <row r="164" s="716" customFormat="1" x14ac:dyDescent="0.2"/>
    <row r="165" s="716" customFormat="1" x14ac:dyDescent="0.2"/>
    <row r="166" s="716" customFormat="1" x14ac:dyDescent="0.2"/>
    <row r="167" s="716" customFormat="1" x14ac:dyDescent="0.2"/>
    <row r="168" s="716" customFormat="1" x14ac:dyDescent="0.2"/>
    <row r="169" s="716" customFormat="1" x14ac:dyDescent="0.2"/>
    <row r="170" s="716" customFormat="1" x14ac:dyDescent="0.2"/>
    <row r="171" s="716" customFormat="1" x14ac:dyDescent="0.2"/>
    <row r="172" s="716" customFormat="1" x14ac:dyDescent="0.2"/>
    <row r="173" s="716" customFormat="1" x14ac:dyDescent="0.2"/>
    <row r="174" s="716" customFormat="1" x14ac:dyDescent="0.2"/>
    <row r="175" s="716" customFormat="1" x14ac:dyDescent="0.2"/>
    <row r="176" s="716" customFormat="1" x14ac:dyDescent="0.2"/>
    <row r="177" s="716" customFormat="1" x14ac:dyDescent="0.2"/>
    <row r="178" s="716" customFormat="1" x14ac:dyDescent="0.2"/>
    <row r="179" s="716" customFormat="1" x14ac:dyDescent="0.2"/>
    <row r="180" s="716" customFormat="1" x14ac:dyDescent="0.2"/>
    <row r="181" s="716" customFormat="1" x14ac:dyDescent="0.2"/>
    <row r="182" s="716" customFormat="1" x14ac:dyDescent="0.2"/>
    <row r="183" s="716" customFormat="1" x14ac:dyDescent="0.2"/>
    <row r="184" s="716" customFormat="1" x14ac:dyDescent="0.2"/>
    <row r="185" s="716" customFormat="1" x14ac:dyDescent="0.2"/>
    <row r="186" s="716" customFormat="1" x14ac:dyDescent="0.2"/>
    <row r="187" s="716" customFormat="1" x14ac:dyDescent="0.2"/>
    <row r="188" s="716" customFormat="1" x14ac:dyDescent="0.2"/>
    <row r="189" s="716" customFormat="1" x14ac:dyDescent="0.2"/>
    <row r="190" s="716" customFormat="1" x14ac:dyDescent="0.2"/>
    <row r="191" s="716" customFormat="1" x14ac:dyDescent="0.2"/>
    <row r="192" s="716" customFormat="1" x14ac:dyDescent="0.2"/>
    <row r="193" s="716" customFormat="1" x14ac:dyDescent="0.2"/>
    <row r="194" s="716" customFormat="1" x14ac:dyDescent="0.2"/>
    <row r="195" s="716" customFormat="1" x14ac:dyDescent="0.2"/>
    <row r="196" s="716" customFormat="1" x14ac:dyDescent="0.2"/>
    <row r="197" s="716" customFormat="1" x14ac:dyDescent="0.2"/>
    <row r="198" s="716" customFormat="1" x14ac:dyDescent="0.2"/>
    <row r="199" s="716" customFormat="1" x14ac:dyDescent="0.2"/>
    <row r="200" s="716" customFormat="1" x14ac:dyDescent="0.2"/>
    <row r="201" s="716" customFormat="1" x14ac:dyDescent="0.2"/>
    <row r="202" s="716" customFormat="1" x14ac:dyDescent="0.2"/>
    <row r="203" s="716" customFormat="1" x14ac:dyDescent="0.2"/>
    <row r="204" s="716" customFormat="1" x14ac:dyDescent="0.2"/>
    <row r="205" s="716" customFormat="1" x14ac:dyDescent="0.2"/>
    <row r="206" s="716" customFormat="1" x14ac:dyDescent="0.2"/>
    <row r="207" s="716" customFormat="1" x14ac:dyDescent="0.2"/>
    <row r="208" s="716" customFormat="1" x14ac:dyDescent="0.2"/>
    <row r="209" s="716" customFormat="1" x14ac:dyDescent="0.2"/>
    <row r="210" s="716" customFormat="1" x14ac:dyDescent="0.2"/>
    <row r="211" s="716" customFormat="1" x14ac:dyDescent="0.2"/>
    <row r="212" s="716" customFormat="1" x14ac:dyDescent="0.2"/>
    <row r="213" s="716" customFormat="1" x14ac:dyDescent="0.2"/>
    <row r="214" s="716" customFormat="1" x14ac:dyDescent="0.2"/>
    <row r="215" s="716" customFormat="1" x14ac:dyDescent="0.2"/>
    <row r="216" s="716" customFormat="1" x14ac:dyDescent="0.2"/>
    <row r="217" s="716" customFormat="1" x14ac:dyDescent="0.2"/>
    <row r="218" s="716" customFormat="1" x14ac:dyDescent="0.2"/>
    <row r="219" s="716" customFormat="1" x14ac:dyDescent="0.2"/>
    <row r="220" s="716" customFormat="1" x14ac:dyDescent="0.2"/>
    <row r="221" s="716" customFormat="1" x14ac:dyDescent="0.2"/>
    <row r="222" s="716" customFormat="1" x14ac:dyDescent="0.2"/>
    <row r="223" s="716" customFormat="1" x14ac:dyDescent="0.2"/>
    <row r="224" s="716" customFormat="1" x14ac:dyDescent="0.2"/>
    <row r="225" s="716" customFormat="1" x14ac:dyDescent="0.2"/>
    <row r="226" s="716" customFormat="1" x14ac:dyDescent="0.2"/>
    <row r="227" s="716" customFormat="1" x14ac:dyDescent="0.2"/>
    <row r="228" s="716" customFormat="1" x14ac:dyDescent="0.2"/>
    <row r="229" s="716" customFormat="1" x14ac:dyDescent="0.2"/>
    <row r="230" s="716" customFormat="1" x14ac:dyDescent="0.2"/>
    <row r="231" s="716" customFormat="1" x14ac:dyDescent="0.2"/>
    <row r="232" s="716" customFormat="1" x14ac:dyDescent="0.2"/>
    <row r="233" s="716" customFormat="1" x14ac:dyDescent="0.2"/>
    <row r="234" s="716" customFormat="1" x14ac:dyDescent="0.2"/>
    <row r="235" s="716" customFormat="1" x14ac:dyDescent="0.2"/>
    <row r="236" s="716" customFormat="1" x14ac:dyDescent="0.2"/>
    <row r="237" s="716" customFormat="1" x14ac:dyDescent="0.2"/>
    <row r="238" s="716" customFormat="1" x14ac:dyDescent="0.2"/>
    <row r="239" s="716" customFormat="1" x14ac:dyDescent="0.2"/>
    <row r="240" s="716" customFormat="1" x14ac:dyDescent="0.2"/>
    <row r="241" s="716" customFormat="1" x14ac:dyDescent="0.2"/>
    <row r="242" s="716" customFormat="1" x14ac:dyDescent="0.2"/>
    <row r="243" s="716" customFormat="1" x14ac:dyDescent="0.2"/>
    <row r="244" s="716" customFormat="1" x14ac:dyDescent="0.2"/>
    <row r="245" s="716" customFormat="1" x14ac:dyDescent="0.2"/>
    <row r="246" s="716" customFormat="1" x14ac:dyDescent="0.2"/>
    <row r="247" s="716" customFormat="1" x14ac:dyDescent="0.2"/>
    <row r="248" s="716" customFormat="1" x14ac:dyDescent="0.2"/>
    <row r="249" s="716" customFormat="1" x14ac:dyDescent="0.2"/>
    <row r="250" s="716" customFormat="1" x14ac:dyDescent="0.2"/>
    <row r="251" s="716" customFormat="1" x14ac:dyDescent="0.2"/>
    <row r="252" s="716" customFormat="1" x14ac:dyDescent="0.2"/>
    <row r="253" s="716" customFormat="1" x14ac:dyDescent="0.2"/>
    <row r="254" s="716" customFormat="1" x14ac:dyDescent="0.2"/>
    <row r="255" s="716" customFormat="1" x14ac:dyDescent="0.2"/>
    <row r="256" s="716" customFormat="1" x14ac:dyDescent="0.2"/>
    <row r="257" s="716" customFormat="1" x14ac:dyDescent="0.2"/>
    <row r="258" s="716" customFormat="1" x14ac:dyDescent="0.2"/>
    <row r="259" s="716" customFormat="1" x14ac:dyDescent="0.2"/>
    <row r="260" s="716" customFormat="1" x14ac:dyDescent="0.2"/>
    <row r="261" s="716" customFormat="1" x14ac:dyDescent="0.2"/>
    <row r="262" s="716" customFormat="1" x14ac:dyDescent="0.2"/>
    <row r="263" s="716" customFormat="1" x14ac:dyDescent="0.2"/>
    <row r="264" s="716" customFormat="1" x14ac:dyDescent="0.2"/>
    <row r="265" s="716" customFormat="1" x14ac:dyDescent="0.2"/>
    <row r="266" s="716" customFormat="1" x14ac:dyDescent="0.2"/>
    <row r="267" s="716" customFormat="1" x14ac:dyDescent="0.2"/>
    <row r="268" s="716" customFormat="1" x14ac:dyDescent="0.2"/>
    <row r="269" s="716" customFormat="1" x14ac:dyDescent="0.2"/>
    <row r="270" s="716" customFormat="1" x14ac:dyDescent="0.2"/>
    <row r="271" s="716" customFormat="1" x14ac:dyDescent="0.2"/>
    <row r="272" s="716" customFormat="1" x14ac:dyDescent="0.2"/>
    <row r="273" s="716" customFormat="1" x14ac:dyDescent="0.2"/>
    <row r="274" s="716" customFormat="1" x14ac:dyDescent="0.2"/>
    <row r="275" s="716" customFormat="1" x14ac:dyDescent="0.2"/>
    <row r="276" s="716" customFormat="1" x14ac:dyDescent="0.2"/>
    <row r="277" s="716" customFormat="1" x14ac:dyDescent="0.2"/>
    <row r="278" s="716" customFormat="1" x14ac:dyDescent="0.2"/>
    <row r="279" s="716" customFormat="1" x14ac:dyDescent="0.2"/>
    <row r="280" s="716" customFormat="1" x14ac:dyDescent="0.2"/>
    <row r="281" s="716" customFormat="1" x14ac:dyDescent="0.2"/>
    <row r="282" s="716" customFormat="1" x14ac:dyDescent="0.2"/>
    <row r="283" s="716" customFormat="1" x14ac:dyDescent="0.2"/>
    <row r="284" s="716" customFormat="1" x14ac:dyDescent="0.2"/>
    <row r="285" s="716" customFormat="1" x14ac:dyDescent="0.2"/>
    <row r="286" s="716" customFormat="1" x14ac:dyDescent="0.2"/>
    <row r="287" s="716" customFormat="1" x14ac:dyDescent="0.2"/>
    <row r="288" s="716" customFormat="1" x14ac:dyDescent="0.2"/>
    <row r="289" s="716" customFormat="1" x14ac:dyDescent="0.2"/>
    <row r="290" s="716" customFormat="1" x14ac:dyDescent="0.2"/>
    <row r="291" s="716" customFormat="1" x14ac:dyDescent="0.2"/>
    <row r="292" s="716" customFormat="1" x14ac:dyDescent="0.2"/>
    <row r="293" s="716" customFormat="1" x14ac:dyDescent="0.2"/>
    <row r="294" s="716" customFormat="1" x14ac:dyDescent="0.2"/>
    <row r="295" s="716" customFormat="1" x14ac:dyDescent="0.2"/>
    <row r="296" s="716" customFormat="1" x14ac:dyDescent="0.2"/>
    <row r="297" s="716" customFormat="1" x14ac:dyDescent="0.2"/>
    <row r="298" s="716" customFormat="1" x14ac:dyDescent="0.2"/>
    <row r="299" s="716" customFormat="1" x14ac:dyDescent="0.2"/>
    <row r="300" s="716" customFormat="1" x14ac:dyDescent="0.2"/>
    <row r="301" s="716" customFormat="1" x14ac:dyDescent="0.2"/>
    <row r="302" s="716" customFormat="1" x14ac:dyDescent="0.2"/>
    <row r="303" s="716" customFormat="1" x14ac:dyDescent="0.2"/>
    <row r="304" s="716" customFormat="1" x14ac:dyDescent="0.2"/>
    <row r="305" s="716" customFormat="1" x14ac:dyDescent="0.2"/>
    <row r="306" s="716" customFormat="1" x14ac:dyDescent="0.2"/>
    <row r="307" s="716" customFormat="1" x14ac:dyDescent="0.2"/>
    <row r="308" s="716" customFormat="1" x14ac:dyDescent="0.2"/>
    <row r="309" s="716" customFormat="1" x14ac:dyDescent="0.2"/>
    <row r="310" s="716" customFormat="1" x14ac:dyDescent="0.2"/>
    <row r="311" s="716" customFormat="1" x14ac:dyDescent="0.2"/>
    <row r="312" s="716" customFormat="1" x14ac:dyDescent="0.2"/>
    <row r="313" s="716" customFormat="1" x14ac:dyDescent="0.2"/>
    <row r="314" s="716" customFormat="1" x14ac:dyDescent="0.2"/>
    <row r="315" s="716" customFormat="1" x14ac:dyDescent="0.2"/>
    <row r="316" s="716" customFormat="1" x14ac:dyDescent="0.2"/>
    <row r="317" s="716" customFormat="1" x14ac:dyDescent="0.2"/>
    <row r="318" s="716" customFormat="1" x14ac:dyDescent="0.2"/>
    <row r="319" s="716" customFormat="1" x14ac:dyDescent="0.2"/>
    <row r="320" s="716" customFormat="1" x14ac:dyDescent="0.2"/>
    <row r="321" s="716" customFormat="1" x14ac:dyDescent="0.2"/>
    <row r="322" s="716" customFormat="1" x14ac:dyDescent="0.2"/>
    <row r="323" s="716" customFormat="1" x14ac:dyDescent="0.2"/>
    <row r="324" s="716" customFormat="1" x14ac:dyDescent="0.2"/>
    <row r="325" s="716" customFormat="1" x14ac:dyDescent="0.2"/>
    <row r="326" s="716" customFormat="1" x14ac:dyDescent="0.2"/>
    <row r="327" s="716" customFormat="1" x14ac:dyDescent="0.2"/>
    <row r="328" s="716" customFormat="1" x14ac:dyDescent="0.2"/>
    <row r="329" s="716" customFormat="1" x14ac:dyDescent="0.2"/>
    <row r="330" s="716" customFormat="1" x14ac:dyDescent="0.2"/>
    <row r="331" s="716" customFormat="1" x14ac:dyDescent="0.2"/>
    <row r="332" s="716" customFormat="1" x14ac:dyDescent="0.2"/>
    <row r="333" s="716" customFormat="1" x14ac:dyDescent="0.2"/>
    <row r="334" s="716" customFormat="1" x14ac:dyDescent="0.2"/>
    <row r="335" s="716" customFormat="1" x14ac:dyDescent="0.2"/>
    <row r="336" s="716" customFormat="1" x14ac:dyDescent="0.2"/>
    <row r="337" s="716" customFormat="1" x14ac:dyDescent="0.2"/>
    <row r="338" s="716" customFormat="1" x14ac:dyDescent="0.2"/>
    <row r="339" s="716" customFormat="1" x14ac:dyDescent="0.2"/>
    <row r="340" s="716" customFormat="1" x14ac:dyDescent="0.2"/>
    <row r="341" s="716" customFormat="1" x14ac:dyDescent="0.2"/>
    <row r="342" s="716" customFormat="1" x14ac:dyDescent="0.2"/>
    <row r="343" s="716" customFormat="1" x14ac:dyDescent="0.2"/>
    <row r="344" s="716" customFormat="1" x14ac:dyDescent="0.2"/>
    <row r="345" s="716" customFormat="1" x14ac:dyDescent="0.2"/>
    <row r="346" s="716" customFormat="1" x14ac:dyDescent="0.2"/>
    <row r="347" s="716" customFormat="1" x14ac:dyDescent="0.2"/>
    <row r="348" s="716" customFormat="1" x14ac:dyDescent="0.2"/>
    <row r="349" s="716" customFormat="1" x14ac:dyDescent="0.2"/>
    <row r="350" s="716" customFormat="1" x14ac:dyDescent="0.2"/>
    <row r="351" s="716" customFormat="1" x14ac:dyDescent="0.2"/>
    <row r="352" s="716" customFormat="1" x14ac:dyDescent="0.2"/>
    <row r="353" s="716" customFormat="1" x14ac:dyDescent="0.2"/>
    <row r="354" s="716" customFormat="1" x14ac:dyDescent="0.2"/>
    <row r="355" s="716" customFormat="1" x14ac:dyDescent="0.2"/>
    <row r="356" s="716" customFormat="1" x14ac:dyDescent="0.2"/>
    <row r="357" s="716" customFormat="1" x14ac:dyDescent="0.2"/>
    <row r="358" s="716" customFormat="1" x14ac:dyDescent="0.2"/>
    <row r="359" s="716" customFormat="1" x14ac:dyDescent="0.2"/>
  </sheetData>
  <mergeCells count="59">
    <mergeCell ref="I49:J49"/>
    <mergeCell ref="K49:L49"/>
    <mergeCell ref="I50:J50"/>
    <mergeCell ref="K50:L50"/>
    <mergeCell ref="I46:J46"/>
    <mergeCell ref="K46:L46"/>
    <mergeCell ref="I47:J47"/>
    <mergeCell ref="K47:L47"/>
    <mergeCell ref="I48:J48"/>
    <mergeCell ref="K48:L48"/>
    <mergeCell ref="I43:J43"/>
    <mergeCell ref="K43:L43"/>
    <mergeCell ref="I44:J44"/>
    <mergeCell ref="K44:L44"/>
    <mergeCell ref="I45:J45"/>
    <mergeCell ref="K45:L45"/>
    <mergeCell ref="I42:J42"/>
    <mergeCell ref="K42:L42"/>
    <mergeCell ref="I36:J36"/>
    <mergeCell ref="K36:L36"/>
    <mergeCell ref="I37:J37"/>
    <mergeCell ref="K37:L37"/>
    <mergeCell ref="I38:J38"/>
    <mergeCell ref="K38:L38"/>
    <mergeCell ref="I39:J39"/>
    <mergeCell ref="K39:L39"/>
    <mergeCell ref="A40:N40"/>
    <mergeCell ref="I41:J41"/>
    <mergeCell ref="K41:L41"/>
    <mergeCell ref="I33:J33"/>
    <mergeCell ref="K33:L33"/>
    <mergeCell ref="I34:J34"/>
    <mergeCell ref="K34:L34"/>
    <mergeCell ref="I35:J35"/>
    <mergeCell ref="K35:L35"/>
    <mergeCell ref="K28:L28"/>
    <mergeCell ref="K29:L29"/>
    <mergeCell ref="K30:L30"/>
    <mergeCell ref="K31:L31"/>
    <mergeCell ref="I32:J32"/>
    <mergeCell ref="K32:L32"/>
    <mergeCell ref="K27:L27"/>
    <mergeCell ref="A6:N6"/>
    <mergeCell ref="K17:L17"/>
    <mergeCell ref="K18:L18"/>
    <mergeCell ref="A19:N19"/>
    <mergeCell ref="K20:L20"/>
    <mergeCell ref="K21:L21"/>
    <mergeCell ref="K22:L22"/>
    <mergeCell ref="K23:L23"/>
    <mergeCell ref="K24:L24"/>
    <mergeCell ref="K25:L25"/>
    <mergeCell ref="K26:L26"/>
    <mergeCell ref="A1:N1"/>
    <mergeCell ref="A3:N3"/>
    <mergeCell ref="D4:D5"/>
    <mergeCell ref="F4:H4"/>
    <mergeCell ref="I4:J4"/>
    <mergeCell ref="K4:L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Z521"/>
  <sheetViews>
    <sheetView topLeftCell="A350" zoomScaleNormal="100" workbookViewId="0">
      <selection activeCell="AQ375" sqref="AQ375"/>
    </sheetView>
  </sheetViews>
  <sheetFormatPr defaultRowHeight="15" x14ac:dyDescent="0.25"/>
  <cols>
    <col min="1" max="1" width="3" customWidth="1"/>
    <col min="2" max="2" width="37.42578125" customWidth="1"/>
    <col min="3" max="5" width="9.7109375" hidden="1" customWidth="1"/>
    <col min="6" max="6" width="12.7109375" customWidth="1"/>
    <col min="7" max="9" width="12.7109375" hidden="1" customWidth="1"/>
    <col min="10" max="17" width="10.7109375" hidden="1" customWidth="1"/>
    <col min="18" max="21" width="12.7109375" hidden="1" customWidth="1"/>
    <col min="22" max="22" width="12.7109375" style="208" hidden="1" customWidth="1"/>
    <col min="23" max="25" width="12.7109375" hidden="1" customWidth="1"/>
    <col min="26" max="26" width="12.7109375" style="208" hidden="1" customWidth="1"/>
    <col min="27" max="29" width="12.7109375" hidden="1" customWidth="1"/>
    <col min="30" max="30" width="12.7109375" style="208" hidden="1" customWidth="1"/>
    <col min="31" max="33" width="12.7109375" hidden="1" customWidth="1"/>
    <col min="34" max="34" width="12.7109375" style="208" customWidth="1"/>
    <col min="35" max="37" width="12.7109375" customWidth="1"/>
    <col min="38" max="38" width="12.7109375" style="208" customWidth="1"/>
    <col min="39" max="41" width="12.7109375" customWidth="1"/>
    <col min="42" max="42" width="12.7109375" style="208" customWidth="1"/>
    <col min="43" max="43" width="12.7109375" customWidth="1"/>
    <col min="44" max="45" width="12.7109375" hidden="1" customWidth="1"/>
    <col min="46" max="78" width="9.140625" style="208"/>
  </cols>
  <sheetData>
    <row r="1" spans="1:45" x14ac:dyDescent="0.25">
      <c r="A1" s="185"/>
      <c r="B1" s="131"/>
      <c r="C1" s="132">
        <v>42522</v>
      </c>
      <c r="D1" s="133">
        <v>42614</v>
      </c>
      <c r="E1" s="134">
        <v>42705</v>
      </c>
      <c r="F1" s="132">
        <v>42795</v>
      </c>
      <c r="G1" s="133">
        <v>42887</v>
      </c>
      <c r="H1" s="133">
        <v>42979</v>
      </c>
      <c r="I1" s="134">
        <v>43070</v>
      </c>
      <c r="J1" s="132">
        <v>43160</v>
      </c>
      <c r="K1" s="133">
        <v>43252</v>
      </c>
      <c r="L1" s="133">
        <v>43344</v>
      </c>
      <c r="M1" s="133">
        <v>43435</v>
      </c>
      <c r="N1" s="132">
        <v>43525</v>
      </c>
      <c r="O1" s="133">
        <v>43617</v>
      </c>
      <c r="P1" s="133">
        <v>43709</v>
      </c>
      <c r="Q1" s="133">
        <v>43800</v>
      </c>
      <c r="R1" s="133">
        <v>43891</v>
      </c>
      <c r="S1" s="133">
        <v>43983</v>
      </c>
      <c r="T1" s="133">
        <v>44075</v>
      </c>
      <c r="U1" s="133">
        <v>44166</v>
      </c>
      <c r="V1" s="133">
        <v>44256</v>
      </c>
      <c r="W1" s="133">
        <v>44348</v>
      </c>
      <c r="X1" s="133">
        <v>44440</v>
      </c>
      <c r="Y1" s="187">
        <v>44531</v>
      </c>
      <c r="Z1" s="133">
        <v>44621</v>
      </c>
      <c r="AA1" s="133">
        <v>44713</v>
      </c>
      <c r="AB1" s="133">
        <v>44805</v>
      </c>
      <c r="AC1" s="187">
        <v>44896</v>
      </c>
      <c r="AD1" s="133">
        <v>44986</v>
      </c>
      <c r="AE1" s="133">
        <v>45078</v>
      </c>
      <c r="AF1" s="133">
        <v>45170</v>
      </c>
      <c r="AG1" s="187">
        <v>45261</v>
      </c>
      <c r="AH1" s="133">
        <v>45352</v>
      </c>
      <c r="AI1" s="133">
        <v>45444</v>
      </c>
      <c r="AJ1" s="133">
        <v>45536</v>
      </c>
      <c r="AK1" s="187">
        <v>45627</v>
      </c>
      <c r="AL1" s="133">
        <v>45717</v>
      </c>
      <c r="AM1" s="133">
        <v>45809</v>
      </c>
      <c r="AN1" s="133">
        <v>45901</v>
      </c>
      <c r="AO1" s="187">
        <v>45992</v>
      </c>
      <c r="AP1" s="133">
        <v>46082</v>
      </c>
      <c r="AQ1" s="133">
        <v>46174</v>
      </c>
      <c r="AR1" s="133">
        <v>46266</v>
      </c>
      <c r="AS1" s="187">
        <v>46357</v>
      </c>
    </row>
    <row r="2" spans="1:45" ht="21" x14ac:dyDescent="0.35">
      <c r="A2" s="160"/>
      <c r="B2" s="184" t="s">
        <v>240</v>
      </c>
      <c r="C2" s="558"/>
      <c r="D2" s="559"/>
      <c r="E2" s="560"/>
      <c r="F2" s="561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972" t="s">
        <v>256</v>
      </c>
      <c r="AM2" s="973"/>
      <c r="AN2" s="973"/>
      <c r="AO2" s="973"/>
      <c r="AP2" s="972"/>
      <c r="AQ2" s="973"/>
      <c r="AR2" s="973"/>
      <c r="AS2" s="973"/>
    </row>
    <row r="3" spans="1:45" s="208" customFormat="1" ht="18.75" x14ac:dyDescent="0.3">
      <c r="A3" s="225"/>
      <c r="B3" s="327"/>
      <c r="C3" s="213"/>
      <c r="E3" s="227"/>
      <c r="F3" s="348"/>
      <c r="I3" s="227"/>
      <c r="J3" s="225"/>
      <c r="N3" s="225"/>
      <c r="R3" s="348"/>
      <c r="S3" s="333"/>
      <c r="T3" s="333"/>
      <c r="U3" s="333"/>
      <c r="V3" s="348"/>
      <c r="W3" s="333"/>
      <c r="X3" s="333"/>
      <c r="Y3" s="396"/>
      <c r="Z3" s="348"/>
      <c r="AA3" s="333"/>
      <c r="AB3" s="333"/>
      <c r="AC3" s="396"/>
      <c r="AD3" s="348"/>
      <c r="AE3" s="333"/>
      <c r="AF3" s="333"/>
      <c r="AG3" s="396"/>
      <c r="AH3" s="348"/>
      <c r="AI3" s="333"/>
      <c r="AJ3" s="333"/>
      <c r="AK3" s="396"/>
      <c r="AL3" s="606"/>
      <c r="AM3" s="610"/>
      <c r="AN3" s="610"/>
      <c r="AO3" s="611"/>
      <c r="AP3" s="606"/>
      <c r="AQ3" s="610"/>
      <c r="AR3" s="610"/>
      <c r="AS3" s="611"/>
    </row>
    <row r="4" spans="1:45" s="208" customFormat="1" ht="15" customHeight="1" x14ac:dyDescent="0.25">
      <c r="A4" s="225"/>
      <c r="B4" s="290" t="s">
        <v>51</v>
      </c>
      <c r="C4" s="213">
        <v>1707.5</v>
      </c>
      <c r="D4" s="208">
        <f>(687+515+1152+677+621)/2</f>
        <v>1826</v>
      </c>
      <c r="E4" s="227">
        <f>(701+552+1160+767+974)/2</f>
        <v>2077</v>
      </c>
      <c r="F4" s="349">
        <f>(323+559+737+1118+682)/2</f>
        <v>1709.5</v>
      </c>
      <c r="G4" s="208">
        <f>(834+660+656+901+797)/2</f>
        <v>1924</v>
      </c>
      <c r="H4" s="208">
        <f>(795+483+731+806+1013)/2</f>
        <v>1914</v>
      </c>
      <c r="I4" s="227">
        <f>(558+546+775+930+925)/2</f>
        <v>1867</v>
      </c>
      <c r="J4" s="213">
        <f>(428+481+578+609+802)/2</f>
        <v>1449</v>
      </c>
      <c r="K4" s="214">
        <f>(678+539+592+636+555)/2</f>
        <v>1500</v>
      </c>
      <c r="L4" s="249">
        <f>(587+468+608+627+533)/2</f>
        <v>1411.5</v>
      </c>
      <c r="M4" s="249">
        <f>(651+598+707+662+592)/2</f>
        <v>1605</v>
      </c>
      <c r="N4" s="262">
        <f>+(556+386+520+734+577)/2</f>
        <v>1386.5</v>
      </c>
      <c r="O4" s="249">
        <f>+(633+404+589+725+584)/2</f>
        <v>1467.5</v>
      </c>
      <c r="P4" s="249">
        <f>+(838+437+798+825+523)/2</f>
        <v>1710.5</v>
      </c>
      <c r="Q4" s="249">
        <f>+(685+316+685+792+497)/2</f>
        <v>1487.5</v>
      </c>
      <c r="R4" s="262">
        <f>+(602+172+627+348+519)/2</f>
        <v>1134</v>
      </c>
      <c r="S4" s="249">
        <f>+(431+91+237+255+218)/2</f>
        <v>616</v>
      </c>
      <c r="T4" s="249">
        <f>+(647+110+679+552+367)/2</f>
        <v>1177.5</v>
      </c>
      <c r="U4" s="249">
        <f>+(421+480+655+601+352)/2</f>
        <v>1254.5</v>
      </c>
      <c r="V4" s="262">
        <f>+(504+110+460+437+455)/2</f>
        <v>983</v>
      </c>
      <c r="W4" s="249">
        <v>1092</v>
      </c>
      <c r="X4" s="249">
        <v>1219</v>
      </c>
      <c r="Y4" s="291">
        <f>+(488+570+496+369)/2</f>
        <v>961.5</v>
      </c>
      <c r="Z4" s="262">
        <v>887</v>
      </c>
      <c r="AA4" s="249">
        <f>+(527+843+501+395)/2</f>
        <v>1133</v>
      </c>
      <c r="AB4" s="249">
        <v>1231</v>
      </c>
      <c r="AC4" s="291">
        <v>1169</v>
      </c>
      <c r="AD4" s="262">
        <v>1471</v>
      </c>
      <c r="AE4" s="249">
        <v>1637</v>
      </c>
      <c r="AF4" s="249">
        <f>+(1161+1138+260+440)/2</f>
        <v>1499.5</v>
      </c>
      <c r="AG4" s="291">
        <v>2047</v>
      </c>
      <c r="AH4" s="262">
        <f>645+926+209+441</f>
        <v>2221</v>
      </c>
      <c r="AI4" s="249">
        <v>2379</v>
      </c>
      <c r="AJ4" s="249">
        <v>2852</v>
      </c>
      <c r="AK4" s="291">
        <v>2623</v>
      </c>
      <c r="AL4" s="590"/>
      <c r="AM4" s="612"/>
      <c r="AN4" s="612"/>
      <c r="AO4" s="613"/>
      <c r="AP4" s="590"/>
      <c r="AQ4" s="612"/>
      <c r="AR4" s="612"/>
      <c r="AS4" s="613"/>
    </row>
    <row r="5" spans="1:45" s="208" customFormat="1" x14ac:dyDescent="0.25">
      <c r="A5" s="225"/>
      <c r="B5" s="292" t="s">
        <v>123</v>
      </c>
      <c r="C5" s="213"/>
      <c r="E5" s="227"/>
      <c r="F5" s="225"/>
      <c r="I5" s="227"/>
      <c r="J5" s="288"/>
      <c r="K5" s="243"/>
      <c r="L5" s="243"/>
      <c r="M5" s="243"/>
      <c r="N5" s="288"/>
      <c r="O5" s="243"/>
      <c r="P5" s="243"/>
      <c r="Q5" s="243"/>
      <c r="R5" s="288"/>
      <c r="S5" s="243"/>
      <c r="T5" s="243"/>
      <c r="U5" s="243"/>
      <c r="V5" s="288"/>
      <c r="W5" s="243"/>
      <c r="X5" s="243"/>
      <c r="Y5" s="326"/>
      <c r="Z5" s="288"/>
      <c r="AA5" s="243"/>
      <c r="AB5" s="243"/>
      <c r="AC5" s="326"/>
      <c r="AD5" s="288"/>
      <c r="AE5" s="243"/>
      <c r="AF5" s="243"/>
      <c r="AG5" s="326"/>
      <c r="AH5" s="288"/>
      <c r="AI5" s="243"/>
      <c r="AJ5" s="243"/>
      <c r="AK5" s="326"/>
      <c r="AL5" s="591"/>
      <c r="AM5" s="614"/>
      <c r="AN5" s="614"/>
      <c r="AO5" s="615"/>
      <c r="AP5" s="591"/>
      <c r="AQ5" s="614"/>
      <c r="AR5" s="614"/>
      <c r="AS5" s="615"/>
    </row>
    <row r="6" spans="1:45" s="208" customFormat="1" x14ac:dyDescent="0.25">
      <c r="A6" s="225"/>
      <c r="B6" s="227" t="s">
        <v>52</v>
      </c>
      <c r="C6" s="213">
        <v>932</v>
      </c>
      <c r="D6" s="208">
        <v>897</v>
      </c>
      <c r="E6" s="227">
        <v>904</v>
      </c>
      <c r="F6" s="225">
        <v>888</v>
      </c>
      <c r="G6" s="208">
        <v>924</v>
      </c>
      <c r="H6" s="208">
        <v>978</v>
      </c>
      <c r="I6" s="227">
        <v>988</v>
      </c>
      <c r="J6" s="213">
        <f>1747/2</f>
        <v>873.5</v>
      </c>
      <c r="K6" s="214">
        <v>961</v>
      </c>
      <c r="L6" s="249">
        <v>1001</v>
      </c>
      <c r="M6" s="249">
        <v>1030</v>
      </c>
      <c r="N6" s="262">
        <v>877</v>
      </c>
      <c r="O6" s="249">
        <v>1141</v>
      </c>
      <c r="P6" s="249">
        <v>1032</v>
      </c>
      <c r="Q6" s="249">
        <v>1011</v>
      </c>
      <c r="R6" s="262">
        <v>841</v>
      </c>
      <c r="S6" s="249">
        <v>449</v>
      </c>
      <c r="T6" s="249">
        <v>795</v>
      </c>
      <c r="U6" s="249">
        <v>912</v>
      </c>
      <c r="V6" s="262">
        <v>830</v>
      </c>
      <c r="W6" s="249">
        <v>939</v>
      </c>
      <c r="X6" s="249">
        <v>945</v>
      </c>
      <c r="Y6" s="291">
        <v>811</v>
      </c>
      <c r="Z6" s="262">
        <v>833</v>
      </c>
      <c r="AA6" s="249">
        <v>814</v>
      </c>
      <c r="AB6" s="249">
        <v>782</v>
      </c>
      <c r="AC6" s="291">
        <v>823</v>
      </c>
      <c r="AD6" s="262">
        <v>686</v>
      </c>
      <c r="AE6" s="249">
        <v>727</v>
      </c>
      <c r="AF6" s="249">
        <v>755</v>
      </c>
      <c r="AG6" s="291">
        <v>900</v>
      </c>
      <c r="AH6" s="262">
        <v>1056</v>
      </c>
      <c r="AI6" s="249">
        <v>1270</v>
      </c>
      <c r="AJ6" s="249">
        <v>1312</v>
      </c>
      <c r="AK6" s="291">
        <v>1126</v>
      </c>
      <c r="AL6" s="590"/>
      <c r="AM6" s="612"/>
      <c r="AN6" s="612"/>
      <c r="AO6" s="613"/>
      <c r="AP6" s="590"/>
      <c r="AQ6" s="612"/>
      <c r="AR6" s="612"/>
      <c r="AS6" s="613"/>
    </row>
    <row r="7" spans="1:45" s="208" customFormat="1" x14ac:dyDescent="0.25">
      <c r="A7" s="225"/>
      <c r="B7" s="227" t="s">
        <v>53</v>
      </c>
      <c r="C7" s="213">
        <v>0</v>
      </c>
      <c r="D7" s="208">
        <v>0</v>
      </c>
      <c r="E7" s="227">
        <v>0</v>
      </c>
      <c r="F7" s="225">
        <v>0</v>
      </c>
      <c r="G7" s="208">
        <v>0</v>
      </c>
      <c r="H7" s="208">
        <v>0</v>
      </c>
      <c r="I7" s="227">
        <v>0</v>
      </c>
      <c r="J7" s="213"/>
      <c r="K7" s="214"/>
      <c r="L7" s="249"/>
      <c r="M7" s="249"/>
      <c r="N7" s="262"/>
      <c r="O7" s="249"/>
      <c r="P7" s="249"/>
      <c r="Q7" s="249"/>
      <c r="R7" s="262"/>
      <c r="S7" s="249"/>
      <c r="T7" s="249"/>
      <c r="U7" s="249"/>
      <c r="V7" s="262"/>
      <c r="W7" s="249"/>
      <c r="X7" s="249"/>
      <c r="Y7" s="291"/>
      <c r="Z7" s="262"/>
      <c r="AA7" s="249"/>
      <c r="AB7" s="249"/>
      <c r="AC7" s="291"/>
      <c r="AD7" s="262"/>
      <c r="AE7" s="249"/>
      <c r="AF7" s="249"/>
      <c r="AG7" s="291"/>
      <c r="AH7" s="262"/>
      <c r="AI7" s="249"/>
      <c r="AJ7" s="249"/>
      <c r="AK7" s="291"/>
      <c r="AL7" s="590"/>
      <c r="AM7" s="612"/>
      <c r="AN7" s="612"/>
      <c r="AO7" s="613"/>
      <c r="AP7" s="590"/>
      <c r="AQ7" s="612"/>
      <c r="AR7" s="612"/>
      <c r="AS7" s="613"/>
    </row>
    <row r="8" spans="1:45" x14ac:dyDescent="0.25">
      <c r="A8" s="225"/>
      <c r="B8" s="290" t="s">
        <v>54</v>
      </c>
      <c r="C8" s="139">
        <f t="shared" ref="C8:I8" si="0">+C7+C6</f>
        <v>932</v>
      </c>
      <c r="D8" s="140">
        <f t="shared" si="0"/>
        <v>897</v>
      </c>
      <c r="E8" s="141">
        <f t="shared" si="0"/>
        <v>904</v>
      </c>
      <c r="F8" s="139">
        <f t="shared" si="0"/>
        <v>888</v>
      </c>
      <c r="G8" s="140">
        <f t="shared" si="0"/>
        <v>924</v>
      </c>
      <c r="H8" s="140">
        <f t="shared" si="0"/>
        <v>978</v>
      </c>
      <c r="I8" s="141">
        <f t="shared" si="0"/>
        <v>988</v>
      </c>
      <c r="J8" s="139">
        <f t="shared" ref="J8:Q8" si="1">+J7+J6</f>
        <v>873.5</v>
      </c>
      <c r="K8" s="140">
        <f t="shared" si="1"/>
        <v>961</v>
      </c>
      <c r="L8" s="140">
        <f t="shared" si="1"/>
        <v>1001</v>
      </c>
      <c r="M8" s="140">
        <f t="shared" si="1"/>
        <v>1030</v>
      </c>
      <c r="N8" s="139">
        <f t="shared" si="1"/>
        <v>877</v>
      </c>
      <c r="O8" s="140">
        <f t="shared" si="1"/>
        <v>1141</v>
      </c>
      <c r="P8" s="140">
        <f t="shared" si="1"/>
        <v>1032</v>
      </c>
      <c r="Q8" s="140">
        <f t="shared" si="1"/>
        <v>1011</v>
      </c>
      <c r="R8" s="139">
        <f t="shared" ref="R8:S8" si="2">+R7+R6</f>
        <v>841</v>
      </c>
      <c r="S8" s="140">
        <f t="shared" si="2"/>
        <v>449</v>
      </c>
      <c r="T8" s="140">
        <f t="shared" ref="T8:U8" si="3">+T7+T6</f>
        <v>795</v>
      </c>
      <c r="U8" s="140">
        <f t="shared" si="3"/>
        <v>912</v>
      </c>
      <c r="V8" s="139">
        <f t="shared" ref="V8:W8" si="4">+V7+V6</f>
        <v>830</v>
      </c>
      <c r="W8" s="140">
        <f t="shared" si="4"/>
        <v>939</v>
      </c>
      <c r="X8" s="140">
        <f t="shared" ref="X8:AA8" si="5">+X7+X6</f>
        <v>945</v>
      </c>
      <c r="Y8" s="141">
        <f t="shared" si="5"/>
        <v>811</v>
      </c>
      <c r="Z8" s="139">
        <f t="shared" si="5"/>
        <v>833</v>
      </c>
      <c r="AA8" s="140">
        <f t="shared" si="5"/>
        <v>814</v>
      </c>
      <c r="AB8" s="140">
        <f t="shared" ref="AB8:AE8" si="6">+AB7+AB6</f>
        <v>782</v>
      </c>
      <c r="AC8" s="141">
        <f t="shared" si="6"/>
        <v>823</v>
      </c>
      <c r="AD8" s="139">
        <f t="shared" si="6"/>
        <v>686</v>
      </c>
      <c r="AE8" s="140">
        <f t="shared" si="6"/>
        <v>727</v>
      </c>
      <c r="AF8" s="140">
        <f t="shared" ref="AF8:AI8" si="7">+AF7+AF6</f>
        <v>755</v>
      </c>
      <c r="AG8" s="141">
        <f t="shared" si="7"/>
        <v>900</v>
      </c>
      <c r="AH8" s="139">
        <f t="shared" si="7"/>
        <v>1056</v>
      </c>
      <c r="AI8" s="140">
        <f t="shared" si="7"/>
        <v>1270</v>
      </c>
      <c r="AJ8" s="140">
        <f t="shared" ref="AJ8:AK8" si="8">+AJ7+AJ6</f>
        <v>1312</v>
      </c>
      <c r="AK8" s="141">
        <f t="shared" si="8"/>
        <v>1126</v>
      </c>
      <c r="AL8" s="592"/>
      <c r="AM8" s="616"/>
      <c r="AN8" s="616"/>
      <c r="AO8" s="617"/>
      <c r="AP8" s="592"/>
      <c r="AQ8" s="616"/>
      <c r="AR8" s="616"/>
      <c r="AS8" s="617"/>
    </row>
    <row r="9" spans="1:45" s="208" customFormat="1" x14ac:dyDescent="0.25">
      <c r="A9" s="225"/>
      <c r="B9" s="292" t="s">
        <v>104</v>
      </c>
      <c r="C9" s="213"/>
      <c r="E9" s="227"/>
      <c r="F9" s="225"/>
      <c r="I9" s="227"/>
      <c r="J9" s="225"/>
      <c r="L9" s="243"/>
      <c r="M9" s="243"/>
      <c r="N9" s="288"/>
      <c r="O9" s="243"/>
      <c r="P9" s="243"/>
      <c r="Q9" s="243"/>
      <c r="R9" s="288"/>
      <c r="S9" s="243"/>
      <c r="T9" s="243"/>
      <c r="U9" s="243"/>
      <c r="V9" s="288"/>
      <c r="W9" s="243"/>
      <c r="X9" s="243"/>
      <c r="Y9" s="326"/>
      <c r="Z9" s="288"/>
      <c r="AA9" s="243"/>
      <c r="AB9" s="243"/>
      <c r="AC9" s="326"/>
      <c r="AD9" s="288"/>
      <c r="AE9" s="243"/>
      <c r="AF9" s="243"/>
      <c r="AG9" s="326"/>
      <c r="AH9" s="288"/>
      <c r="AI9" s="243"/>
      <c r="AJ9" s="243"/>
      <c r="AK9" s="326"/>
      <c r="AL9" s="591"/>
      <c r="AM9" s="614"/>
      <c r="AN9" s="614"/>
      <c r="AO9" s="615"/>
      <c r="AP9" s="591"/>
      <c r="AQ9" s="614"/>
      <c r="AR9" s="614"/>
      <c r="AS9" s="615"/>
    </row>
    <row r="10" spans="1:45" s="208" customFormat="1" x14ac:dyDescent="0.25">
      <c r="A10" s="225"/>
      <c r="B10" s="227" t="s">
        <v>52</v>
      </c>
      <c r="C10" s="301">
        <v>2.5</v>
      </c>
      <c r="D10" s="208">
        <v>2.5099999999999998</v>
      </c>
      <c r="E10" s="227">
        <v>2.44</v>
      </c>
      <c r="F10" s="225">
        <v>2.41</v>
      </c>
      <c r="G10" s="208">
        <v>2.39</v>
      </c>
      <c r="H10" s="208">
        <v>2.39</v>
      </c>
      <c r="I10" s="350">
        <v>2.5</v>
      </c>
      <c r="J10" s="288">
        <v>2.4700000000000002</v>
      </c>
      <c r="K10" s="243">
        <v>2.5</v>
      </c>
      <c r="L10" s="243">
        <v>2.4500000000000002</v>
      </c>
      <c r="M10" s="243">
        <v>2.5299999999999998</v>
      </c>
      <c r="N10" s="288">
        <v>2.48</v>
      </c>
      <c r="O10" s="243">
        <v>2.4700000000000002</v>
      </c>
      <c r="P10" s="243">
        <v>2.46</v>
      </c>
      <c r="Q10" s="278">
        <v>2.44</v>
      </c>
      <c r="R10" s="351">
        <v>2.39</v>
      </c>
      <c r="S10" s="278">
        <v>2.42</v>
      </c>
      <c r="T10" s="278">
        <v>2.4900000000000002</v>
      </c>
      <c r="U10" s="278">
        <v>2.5</v>
      </c>
      <c r="V10" s="351">
        <v>2.38</v>
      </c>
      <c r="W10" s="278">
        <v>2.41</v>
      </c>
      <c r="X10" s="278">
        <v>2.4</v>
      </c>
      <c r="Y10" s="469">
        <v>2.39</v>
      </c>
      <c r="Z10" s="351">
        <v>2.2799999999999998</v>
      </c>
      <c r="AA10" s="278">
        <v>2.39</v>
      </c>
      <c r="AB10" s="278">
        <v>2.33</v>
      </c>
      <c r="AC10" s="469">
        <v>2.4</v>
      </c>
      <c r="AD10" s="351">
        <v>2.27</v>
      </c>
      <c r="AE10" s="278">
        <v>2.2200000000000002</v>
      </c>
      <c r="AF10" s="278">
        <v>2.34</v>
      </c>
      <c r="AG10" s="469">
        <v>2.2799999999999998</v>
      </c>
      <c r="AH10" s="351">
        <v>2.19</v>
      </c>
      <c r="AI10" s="278">
        <v>2.2000000000000002</v>
      </c>
      <c r="AJ10" s="278">
        <v>2.2200000000000002</v>
      </c>
      <c r="AK10" s="469">
        <v>2.2400000000000002</v>
      </c>
      <c r="AL10" s="593"/>
      <c r="AM10" s="618"/>
      <c r="AN10" s="618"/>
      <c r="AO10" s="619"/>
      <c r="AP10" s="593"/>
      <c r="AQ10" s="618"/>
      <c r="AR10" s="618"/>
      <c r="AS10" s="619"/>
    </row>
    <row r="11" spans="1:45" s="208" customFormat="1" x14ac:dyDescent="0.25">
      <c r="A11" s="225"/>
      <c r="B11" s="227" t="s">
        <v>53</v>
      </c>
      <c r="C11" s="301">
        <v>0</v>
      </c>
      <c r="D11" s="208">
        <v>0</v>
      </c>
      <c r="E11" s="227">
        <v>0</v>
      </c>
      <c r="F11" s="225">
        <v>0</v>
      </c>
      <c r="G11" s="208">
        <v>0</v>
      </c>
      <c r="H11" s="208">
        <v>0</v>
      </c>
      <c r="I11" s="227">
        <v>0</v>
      </c>
      <c r="J11" s="288">
        <v>0</v>
      </c>
      <c r="K11" s="243">
        <v>0</v>
      </c>
      <c r="L11" s="243"/>
      <c r="M11" s="243"/>
      <c r="N11" s="288"/>
      <c r="O11" s="243"/>
      <c r="P11" s="243"/>
      <c r="Q11" s="243"/>
      <c r="R11" s="288"/>
      <c r="S11" s="243"/>
      <c r="T11" s="243"/>
      <c r="U11" s="243"/>
      <c r="V11" s="288"/>
      <c r="W11" s="243"/>
      <c r="X11" s="243"/>
      <c r="Y11" s="326"/>
      <c r="Z11" s="288"/>
      <c r="AA11" s="243"/>
      <c r="AB11" s="243"/>
      <c r="AC11" s="326"/>
      <c r="AD11" s="288"/>
      <c r="AE11" s="243"/>
      <c r="AF11" s="243"/>
      <c r="AG11" s="326"/>
      <c r="AH11" s="288"/>
      <c r="AI11" s="243"/>
      <c r="AJ11" s="243"/>
      <c r="AK11" s="326"/>
      <c r="AL11" s="591"/>
      <c r="AM11" s="614"/>
      <c r="AN11" s="614"/>
      <c r="AO11" s="615"/>
      <c r="AP11" s="591"/>
      <c r="AQ11" s="614"/>
      <c r="AR11" s="614"/>
      <c r="AS11" s="615"/>
    </row>
    <row r="12" spans="1:45" x14ac:dyDescent="0.25">
      <c r="A12" s="225"/>
      <c r="B12" s="290" t="s">
        <v>56</v>
      </c>
      <c r="C12" s="142">
        <f t="shared" ref="C12:I12" si="9">+C10</f>
        <v>2.5</v>
      </c>
      <c r="D12" s="143">
        <f t="shared" si="9"/>
        <v>2.5099999999999998</v>
      </c>
      <c r="E12" s="144">
        <f t="shared" si="9"/>
        <v>2.44</v>
      </c>
      <c r="F12" s="142">
        <f t="shared" si="9"/>
        <v>2.41</v>
      </c>
      <c r="G12" s="143">
        <f t="shared" si="9"/>
        <v>2.39</v>
      </c>
      <c r="H12" s="143">
        <f t="shared" si="9"/>
        <v>2.39</v>
      </c>
      <c r="I12" s="144">
        <f t="shared" si="9"/>
        <v>2.5</v>
      </c>
      <c r="J12" s="142">
        <f t="shared" ref="J12:Q12" si="10">+J10</f>
        <v>2.4700000000000002</v>
      </c>
      <c r="K12" s="143">
        <f t="shared" si="10"/>
        <v>2.5</v>
      </c>
      <c r="L12" s="143">
        <f t="shared" si="10"/>
        <v>2.4500000000000002</v>
      </c>
      <c r="M12" s="143">
        <f t="shared" si="10"/>
        <v>2.5299999999999998</v>
      </c>
      <c r="N12" s="142">
        <f t="shared" si="10"/>
        <v>2.48</v>
      </c>
      <c r="O12" s="143">
        <f t="shared" si="10"/>
        <v>2.4700000000000002</v>
      </c>
      <c r="P12" s="143">
        <f t="shared" si="10"/>
        <v>2.46</v>
      </c>
      <c r="Q12" s="143">
        <f t="shared" si="10"/>
        <v>2.44</v>
      </c>
      <c r="R12" s="142">
        <f t="shared" ref="R12:S12" si="11">+R10</f>
        <v>2.39</v>
      </c>
      <c r="S12" s="143">
        <f t="shared" si="11"/>
        <v>2.42</v>
      </c>
      <c r="T12" s="143">
        <f t="shared" ref="T12:U12" si="12">+T10</f>
        <v>2.4900000000000002</v>
      </c>
      <c r="U12" s="143">
        <f t="shared" si="12"/>
        <v>2.5</v>
      </c>
      <c r="V12" s="142">
        <f t="shared" ref="V12:W12" si="13">+V10</f>
        <v>2.38</v>
      </c>
      <c r="W12" s="143">
        <f t="shared" si="13"/>
        <v>2.41</v>
      </c>
      <c r="X12" s="143">
        <f t="shared" ref="X12:AA12" si="14">+X10</f>
        <v>2.4</v>
      </c>
      <c r="Y12" s="144">
        <f t="shared" si="14"/>
        <v>2.39</v>
      </c>
      <c r="Z12" s="142">
        <f t="shared" si="14"/>
        <v>2.2799999999999998</v>
      </c>
      <c r="AA12" s="143">
        <f t="shared" si="14"/>
        <v>2.39</v>
      </c>
      <c r="AB12" s="143">
        <f t="shared" ref="AB12:AE12" si="15">+AB10</f>
        <v>2.33</v>
      </c>
      <c r="AC12" s="144">
        <f t="shared" si="15"/>
        <v>2.4</v>
      </c>
      <c r="AD12" s="142">
        <f t="shared" si="15"/>
        <v>2.27</v>
      </c>
      <c r="AE12" s="143">
        <f t="shared" si="15"/>
        <v>2.2200000000000002</v>
      </c>
      <c r="AF12" s="143">
        <f t="shared" ref="AF12:AI12" si="16">+AF10</f>
        <v>2.34</v>
      </c>
      <c r="AG12" s="144">
        <f t="shared" si="16"/>
        <v>2.2799999999999998</v>
      </c>
      <c r="AH12" s="142">
        <f t="shared" si="16"/>
        <v>2.19</v>
      </c>
      <c r="AI12" s="143">
        <f t="shared" si="16"/>
        <v>2.2000000000000002</v>
      </c>
      <c r="AJ12" s="143">
        <f t="shared" ref="AJ12:AK12" si="17">+AJ10</f>
        <v>2.2200000000000002</v>
      </c>
      <c r="AK12" s="144">
        <f t="shared" si="17"/>
        <v>2.2400000000000002</v>
      </c>
      <c r="AL12" s="594"/>
      <c r="AM12" s="620"/>
      <c r="AN12" s="620"/>
      <c r="AO12" s="621"/>
      <c r="AP12" s="594"/>
      <c r="AQ12" s="620"/>
      <c r="AR12" s="620"/>
      <c r="AS12" s="621"/>
    </row>
    <row r="13" spans="1:45" s="208" customFormat="1" x14ac:dyDescent="0.25">
      <c r="A13" s="225"/>
      <c r="B13" s="292" t="s">
        <v>100</v>
      </c>
      <c r="C13" s="213"/>
      <c r="E13" s="227"/>
      <c r="F13" s="225"/>
      <c r="I13" s="227"/>
      <c r="J13" s="225"/>
      <c r="L13" s="243"/>
      <c r="M13" s="243"/>
      <c r="N13" s="288"/>
      <c r="O13" s="243"/>
      <c r="P13" s="243"/>
      <c r="Q13" s="243"/>
      <c r="R13" s="288"/>
      <c r="S13" s="243"/>
      <c r="T13" s="243"/>
      <c r="U13" s="243"/>
      <c r="V13" s="288"/>
      <c r="W13" s="243"/>
      <c r="X13" s="243"/>
      <c r="Y13" s="326"/>
      <c r="Z13" s="288"/>
      <c r="AA13" s="243"/>
      <c r="AB13" s="243"/>
      <c r="AC13" s="326"/>
      <c r="AD13" s="288"/>
      <c r="AE13" s="243"/>
      <c r="AF13" s="243"/>
      <c r="AG13" s="326"/>
      <c r="AH13" s="288"/>
      <c r="AI13" s="243"/>
      <c r="AJ13" s="243"/>
      <c r="AK13" s="326"/>
      <c r="AL13" s="591"/>
      <c r="AM13" s="614"/>
      <c r="AN13" s="614"/>
      <c r="AO13" s="615"/>
      <c r="AP13" s="591"/>
      <c r="AQ13" s="614"/>
      <c r="AR13" s="614"/>
      <c r="AS13" s="615"/>
    </row>
    <row r="14" spans="1:45" s="208" customFormat="1" x14ac:dyDescent="0.25">
      <c r="A14" s="225"/>
      <c r="B14" s="227" t="s">
        <v>52</v>
      </c>
      <c r="C14" s="211">
        <v>60707</v>
      </c>
      <c r="D14" s="253">
        <v>59268</v>
      </c>
      <c r="E14" s="352">
        <v>58252</v>
      </c>
      <c r="F14" s="226">
        <v>56106</v>
      </c>
      <c r="G14" s="253">
        <v>58513</v>
      </c>
      <c r="H14" s="253">
        <v>61633</v>
      </c>
      <c r="I14" s="227">
        <v>64974</v>
      </c>
      <c r="J14" s="211">
        <f>113528/2</f>
        <v>56764</v>
      </c>
      <c r="K14" s="242">
        <v>63697</v>
      </c>
      <c r="L14" s="242">
        <v>65047</v>
      </c>
      <c r="M14" s="242">
        <v>69666</v>
      </c>
      <c r="N14" s="211">
        <v>57823</v>
      </c>
      <c r="O14" s="242">
        <v>73958</v>
      </c>
      <c r="P14" s="242">
        <v>67600</v>
      </c>
      <c r="Q14" s="242">
        <v>65627</v>
      </c>
      <c r="R14" s="211">
        <v>53458</v>
      </c>
      <c r="S14" s="242">
        <v>28977</v>
      </c>
      <c r="T14" s="242">
        <v>53299</v>
      </c>
      <c r="U14" s="242">
        <v>61113</v>
      </c>
      <c r="V14" s="211">
        <v>53046</v>
      </c>
      <c r="W14" s="242">
        <v>60450</v>
      </c>
      <c r="X14" s="242">
        <v>61083.4</v>
      </c>
      <c r="Y14" s="407">
        <v>51952</v>
      </c>
      <c r="Z14" s="211">
        <v>49518</v>
      </c>
      <c r="AA14" s="242">
        <v>51797</v>
      </c>
      <c r="AB14" s="242">
        <v>48120</v>
      </c>
      <c r="AC14" s="407">
        <v>52321</v>
      </c>
      <c r="AD14" s="211">
        <v>41187</v>
      </c>
      <c r="AE14" s="242">
        <v>42329</v>
      </c>
      <c r="AF14" s="242">
        <v>47600</v>
      </c>
      <c r="AG14" s="407">
        <v>55136</v>
      </c>
      <c r="AH14" s="211">
        <v>61150</v>
      </c>
      <c r="AI14" s="242">
        <v>74518</v>
      </c>
      <c r="AJ14" s="242">
        <v>77150</v>
      </c>
      <c r="AK14" s="407">
        <v>67738</v>
      </c>
      <c r="AL14" s="595"/>
      <c r="AM14" s="596"/>
      <c r="AN14" s="596"/>
      <c r="AO14" s="622"/>
      <c r="AP14" s="595"/>
      <c r="AQ14" s="596"/>
      <c r="AR14" s="596"/>
      <c r="AS14" s="622"/>
    </row>
    <row r="15" spans="1:45" s="208" customFormat="1" x14ac:dyDescent="0.25">
      <c r="A15" s="225"/>
      <c r="B15" s="227" t="s">
        <v>53</v>
      </c>
      <c r="C15" s="213">
        <v>0</v>
      </c>
      <c r="D15" s="208">
        <v>0</v>
      </c>
      <c r="E15" s="227">
        <v>0</v>
      </c>
      <c r="F15" s="225">
        <v>0</v>
      </c>
      <c r="G15" s="208">
        <v>0</v>
      </c>
      <c r="H15" s="208">
        <v>0</v>
      </c>
      <c r="I15" s="227">
        <v>0</v>
      </c>
      <c r="J15" s="288">
        <v>0</v>
      </c>
      <c r="K15" s="243">
        <v>0</v>
      </c>
      <c r="L15" s="243">
        <v>0</v>
      </c>
      <c r="M15" s="243"/>
      <c r="N15" s="288"/>
      <c r="O15" s="243"/>
      <c r="P15" s="243"/>
      <c r="Q15" s="243"/>
      <c r="R15" s="288"/>
      <c r="S15" s="243"/>
      <c r="T15" s="243"/>
      <c r="U15" s="243"/>
      <c r="V15" s="288"/>
      <c r="W15" s="243"/>
      <c r="X15" s="243"/>
      <c r="Y15" s="326"/>
      <c r="Z15" s="288"/>
      <c r="AA15" s="243"/>
      <c r="AB15" s="243"/>
      <c r="AC15" s="326"/>
      <c r="AD15" s="288"/>
      <c r="AE15" s="243"/>
      <c r="AF15" s="243"/>
      <c r="AG15" s="326"/>
      <c r="AH15" s="288"/>
      <c r="AI15" s="243"/>
      <c r="AJ15" s="243"/>
      <c r="AK15" s="326"/>
      <c r="AL15" s="591"/>
      <c r="AM15" s="614"/>
      <c r="AN15" s="614"/>
      <c r="AO15" s="615"/>
      <c r="AP15" s="591"/>
      <c r="AQ15" s="614"/>
      <c r="AR15" s="614"/>
      <c r="AS15" s="615"/>
    </row>
    <row r="16" spans="1:45" x14ac:dyDescent="0.25">
      <c r="A16" s="225"/>
      <c r="B16" s="290" t="s">
        <v>54</v>
      </c>
      <c r="C16" s="139">
        <f t="shared" ref="C16:I16" si="18">+C15+C14</f>
        <v>60707</v>
      </c>
      <c r="D16" s="140">
        <f t="shared" si="18"/>
        <v>59268</v>
      </c>
      <c r="E16" s="141">
        <f t="shared" si="18"/>
        <v>58252</v>
      </c>
      <c r="F16" s="139">
        <f t="shared" si="18"/>
        <v>56106</v>
      </c>
      <c r="G16" s="140">
        <f t="shared" si="18"/>
        <v>58513</v>
      </c>
      <c r="H16" s="140">
        <f t="shared" si="18"/>
        <v>61633</v>
      </c>
      <c r="I16" s="141">
        <f t="shared" si="18"/>
        <v>64974</v>
      </c>
      <c r="J16" s="139">
        <f t="shared" ref="J16:Q16" si="19">+J15+J14</f>
        <v>56764</v>
      </c>
      <c r="K16" s="140">
        <f t="shared" si="19"/>
        <v>63697</v>
      </c>
      <c r="L16" s="140">
        <f t="shared" si="19"/>
        <v>65047</v>
      </c>
      <c r="M16" s="140">
        <f t="shared" si="19"/>
        <v>69666</v>
      </c>
      <c r="N16" s="139">
        <f t="shared" si="19"/>
        <v>57823</v>
      </c>
      <c r="O16" s="140">
        <f t="shared" si="19"/>
        <v>73958</v>
      </c>
      <c r="P16" s="140">
        <f t="shared" si="19"/>
        <v>67600</v>
      </c>
      <c r="Q16" s="140">
        <f t="shared" si="19"/>
        <v>65627</v>
      </c>
      <c r="R16" s="139">
        <f t="shared" ref="R16:S16" si="20">+R15+R14</f>
        <v>53458</v>
      </c>
      <c r="S16" s="140">
        <f t="shared" si="20"/>
        <v>28977</v>
      </c>
      <c r="T16" s="140">
        <f t="shared" ref="T16:U16" si="21">+T15+T14</f>
        <v>53299</v>
      </c>
      <c r="U16" s="140">
        <f t="shared" si="21"/>
        <v>61113</v>
      </c>
      <c r="V16" s="139">
        <f t="shared" ref="V16:W16" si="22">+V15+V14</f>
        <v>53046</v>
      </c>
      <c r="W16" s="140">
        <f t="shared" si="22"/>
        <v>60450</v>
      </c>
      <c r="X16" s="140">
        <f t="shared" ref="X16:AA16" si="23">+X15+X14</f>
        <v>61083.4</v>
      </c>
      <c r="Y16" s="141">
        <f t="shared" si="23"/>
        <v>51952</v>
      </c>
      <c r="Z16" s="139">
        <f t="shared" si="23"/>
        <v>49518</v>
      </c>
      <c r="AA16" s="140">
        <f t="shared" si="23"/>
        <v>51797</v>
      </c>
      <c r="AB16" s="140">
        <f t="shared" ref="AB16:AE16" si="24">+AB15+AB14</f>
        <v>48120</v>
      </c>
      <c r="AC16" s="141">
        <f t="shared" si="24"/>
        <v>52321</v>
      </c>
      <c r="AD16" s="139">
        <f t="shared" si="24"/>
        <v>41187</v>
      </c>
      <c r="AE16" s="140">
        <f t="shared" si="24"/>
        <v>42329</v>
      </c>
      <c r="AF16" s="140">
        <f t="shared" ref="AF16:AI16" si="25">+AF15+AF14</f>
        <v>47600</v>
      </c>
      <c r="AG16" s="141">
        <f t="shared" si="25"/>
        <v>55136</v>
      </c>
      <c r="AH16" s="139">
        <f t="shared" si="25"/>
        <v>61150</v>
      </c>
      <c r="AI16" s="140">
        <f t="shared" si="25"/>
        <v>74518</v>
      </c>
      <c r="AJ16" s="140">
        <f t="shared" ref="AJ16:AK16" si="26">+AJ15+AJ14</f>
        <v>77150</v>
      </c>
      <c r="AK16" s="141">
        <f t="shared" si="26"/>
        <v>67738</v>
      </c>
      <c r="AL16" s="592"/>
      <c r="AM16" s="616"/>
      <c r="AN16" s="616"/>
      <c r="AO16" s="617"/>
      <c r="AP16" s="592"/>
      <c r="AQ16" s="616"/>
      <c r="AR16" s="616"/>
      <c r="AS16" s="617"/>
    </row>
    <row r="17" spans="1:45" s="208" customFormat="1" x14ac:dyDescent="0.25">
      <c r="A17" s="225"/>
      <c r="B17" s="292" t="s">
        <v>124</v>
      </c>
      <c r="C17" s="213"/>
      <c r="E17" s="227"/>
      <c r="F17" s="225"/>
      <c r="I17" s="227"/>
      <c r="J17" s="225"/>
      <c r="L17" s="243"/>
      <c r="M17" s="243"/>
      <c r="N17" s="288"/>
      <c r="O17" s="243"/>
      <c r="P17" s="243"/>
      <c r="Q17" s="243"/>
      <c r="R17" s="288"/>
      <c r="S17" s="243"/>
      <c r="T17" s="243"/>
      <c r="U17" s="243"/>
      <c r="V17" s="288"/>
      <c r="W17" s="243"/>
      <c r="X17" s="243"/>
      <c r="Y17" s="326"/>
      <c r="Z17" s="288"/>
      <c r="AA17" s="243"/>
      <c r="AB17" s="243"/>
      <c r="AC17" s="326"/>
      <c r="AD17" s="288"/>
      <c r="AE17" s="243"/>
      <c r="AF17" s="243"/>
      <c r="AG17" s="326"/>
      <c r="AH17" s="288"/>
      <c r="AI17" s="243"/>
      <c r="AJ17" s="243"/>
      <c r="AK17" s="326"/>
      <c r="AL17" s="591"/>
      <c r="AM17" s="614"/>
      <c r="AN17" s="614"/>
      <c r="AO17" s="615"/>
      <c r="AP17" s="591"/>
      <c r="AQ17" s="614"/>
      <c r="AR17" s="614"/>
      <c r="AS17" s="615"/>
    </row>
    <row r="18" spans="1:45" s="208" customFormat="1" x14ac:dyDescent="0.25">
      <c r="A18" s="225"/>
      <c r="B18" s="227" t="s">
        <v>52</v>
      </c>
      <c r="C18" s="213">
        <v>630</v>
      </c>
      <c r="D18" s="208">
        <v>625</v>
      </c>
      <c r="E18" s="227">
        <v>604</v>
      </c>
      <c r="F18" s="225">
        <v>659</v>
      </c>
      <c r="G18" s="208">
        <v>628</v>
      </c>
      <c r="H18" s="208">
        <v>626</v>
      </c>
      <c r="I18" s="227">
        <v>626</v>
      </c>
      <c r="J18" s="288">
        <v>714</v>
      </c>
      <c r="K18" s="243">
        <v>657</v>
      </c>
      <c r="L18" s="243">
        <v>693</v>
      </c>
      <c r="M18" s="243">
        <v>717</v>
      </c>
      <c r="N18" s="288">
        <v>748</v>
      </c>
      <c r="O18" s="243">
        <v>633</v>
      </c>
      <c r="P18" s="243">
        <v>721</v>
      </c>
      <c r="Q18" s="279">
        <v>749</v>
      </c>
      <c r="R18" s="353">
        <v>798</v>
      </c>
      <c r="S18" s="279">
        <v>1076</v>
      </c>
      <c r="T18" s="279">
        <v>892</v>
      </c>
      <c r="U18" s="279">
        <v>857</v>
      </c>
      <c r="V18" s="353">
        <v>853</v>
      </c>
      <c r="W18" s="279">
        <v>862</v>
      </c>
      <c r="X18" s="279">
        <v>894</v>
      </c>
      <c r="Y18" s="470">
        <v>980</v>
      </c>
      <c r="Z18" s="353">
        <v>945</v>
      </c>
      <c r="AA18" s="279">
        <v>1053</v>
      </c>
      <c r="AB18" s="279">
        <v>1049</v>
      </c>
      <c r="AC18" s="470">
        <v>1154</v>
      </c>
      <c r="AD18" s="353">
        <v>1180</v>
      </c>
      <c r="AE18" s="279">
        <v>1186</v>
      </c>
      <c r="AF18" s="279">
        <v>1244</v>
      </c>
      <c r="AG18" s="470">
        <v>1467</v>
      </c>
      <c r="AH18" s="353">
        <v>1415</v>
      </c>
      <c r="AI18" s="279">
        <v>1300</v>
      </c>
      <c r="AJ18" s="279">
        <v>1365</v>
      </c>
      <c r="AK18" s="470">
        <v>1505</v>
      </c>
      <c r="AL18" s="597"/>
      <c r="AM18" s="623"/>
      <c r="AN18" s="623"/>
      <c r="AO18" s="624"/>
      <c r="AP18" s="597"/>
      <c r="AQ18" s="623"/>
      <c r="AR18" s="623"/>
      <c r="AS18" s="624"/>
    </row>
    <row r="19" spans="1:45" s="208" customFormat="1" x14ac:dyDescent="0.25">
      <c r="A19" s="225"/>
      <c r="B19" s="227" t="s">
        <v>53</v>
      </c>
      <c r="C19" s="213">
        <v>0</v>
      </c>
      <c r="D19" s="208">
        <v>0</v>
      </c>
      <c r="E19" s="227">
        <v>0</v>
      </c>
      <c r="F19" s="225">
        <v>0</v>
      </c>
      <c r="G19" s="208">
        <v>0</v>
      </c>
      <c r="H19" s="208">
        <v>0</v>
      </c>
      <c r="I19" s="227">
        <v>0</v>
      </c>
      <c r="J19" s="288"/>
      <c r="K19" s="243"/>
      <c r="L19" s="243"/>
      <c r="M19" s="243"/>
      <c r="N19" s="288"/>
      <c r="O19" s="243"/>
      <c r="P19" s="243"/>
      <c r="Q19" s="243"/>
      <c r="R19" s="288"/>
      <c r="S19" s="243"/>
      <c r="T19" s="243"/>
      <c r="U19" s="243"/>
      <c r="V19" s="288"/>
      <c r="W19" s="243"/>
      <c r="X19" s="243"/>
      <c r="Y19" s="326"/>
      <c r="Z19" s="288"/>
      <c r="AA19" s="243"/>
      <c r="AB19" s="243"/>
      <c r="AC19" s="326"/>
      <c r="AD19" s="288"/>
      <c r="AE19" s="243"/>
      <c r="AF19" s="243"/>
      <c r="AG19" s="326"/>
      <c r="AH19" s="288"/>
      <c r="AI19" s="243"/>
      <c r="AJ19" s="243"/>
      <c r="AK19" s="326"/>
      <c r="AL19" s="591"/>
      <c r="AM19" s="614"/>
      <c r="AN19" s="614"/>
      <c r="AO19" s="615"/>
      <c r="AP19" s="591"/>
      <c r="AQ19" s="614"/>
      <c r="AR19" s="614"/>
      <c r="AS19" s="615"/>
    </row>
    <row r="20" spans="1:45" x14ac:dyDescent="0.25">
      <c r="A20" s="225"/>
      <c r="B20" s="290" t="s">
        <v>54</v>
      </c>
      <c r="C20" s="139">
        <f t="shared" ref="C20:I20" si="27">+((C18*C6)+(C19*C7))/(C8)</f>
        <v>630</v>
      </c>
      <c r="D20" s="140">
        <f t="shared" si="27"/>
        <v>625</v>
      </c>
      <c r="E20" s="141">
        <f t="shared" si="27"/>
        <v>604</v>
      </c>
      <c r="F20" s="139">
        <f t="shared" si="27"/>
        <v>659</v>
      </c>
      <c r="G20" s="140">
        <f t="shared" si="27"/>
        <v>628</v>
      </c>
      <c r="H20" s="140">
        <f t="shared" si="27"/>
        <v>626</v>
      </c>
      <c r="I20" s="141">
        <f t="shared" si="27"/>
        <v>626</v>
      </c>
      <c r="J20" s="139">
        <f t="shared" ref="J20:Q20" si="28">+((J18*J6)+(J19*J7))/(J8)</f>
        <v>714</v>
      </c>
      <c r="K20" s="140">
        <f t="shared" si="28"/>
        <v>657</v>
      </c>
      <c r="L20" s="140">
        <f t="shared" si="28"/>
        <v>693</v>
      </c>
      <c r="M20" s="140">
        <f t="shared" si="28"/>
        <v>717</v>
      </c>
      <c r="N20" s="139">
        <f t="shared" si="28"/>
        <v>748</v>
      </c>
      <c r="O20" s="140">
        <f t="shared" si="28"/>
        <v>633</v>
      </c>
      <c r="P20" s="140">
        <f t="shared" si="28"/>
        <v>721</v>
      </c>
      <c r="Q20" s="140">
        <f t="shared" si="28"/>
        <v>749</v>
      </c>
      <c r="R20" s="139">
        <f t="shared" ref="R20:S20" si="29">+((R18*R6)+(R19*R7))/(R8)</f>
        <v>798</v>
      </c>
      <c r="S20" s="140">
        <f t="shared" si="29"/>
        <v>1076</v>
      </c>
      <c r="T20" s="140">
        <f t="shared" ref="T20:U20" si="30">+((T18*T6)+(T19*T7))/(T8)</f>
        <v>892</v>
      </c>
      <c r="U20" s="140">
        <f t="shared" si="30"/>
        <v>857</v>
      </c>
      <c r="V20" s="139">
        <f t="shared" ref="V20:W20" si="31">+((V18*V6)+(V19*V7))/(V8)</f>
        <v>853</v>
      </c>
      <c r="W20" s="140">
        <f t="shared" si="31"/>
        <v>862</v>
      </c>
      <c r="X20" s="140">
        <f t="shared" ref="X20:AA20" si="32">+((X18*X6)+(X19*X7))/(X8)</f>
        <v>894</v>
      </c>
      <c r="Y20" s="141">
        <f t="shared" si="32"/>
        <v>980</v>
      </c>
      <c r="Z20" s="139">
        <f t="shared" si="32"/>
        <v>945</v>
      </c>
      <c r="AA20" s="140">
        <f t="shared" si="32"/>
        <v>1053</v>
      </c>
      <c r="AB20" s="140">
        <f t="shared" ref="AB20:AE20" si="33">+((AB18*AB6)+(AB19*AB7))/(AB8)</f>
        <v>1049</v>
      </c>
      <c r="AC20" s="141">
        <f t="shared" si="33"/>
        <v>1154</v>
      </c>
      <c r="AD20" s="139">
        <f t="shared" si="33"/>
        <v>1180</v>
      </c>
      <c r="AE20" s="140">
        <f t="shared" si="33"/>
        <v>1186</v>
      </c>
      <c r="AF20" s="140">
        <f t="shared" ref="AF20:AI20" si="34">+((AF18*AF6)+(AF19*AF7))/(AF8)</f>
        <v>1244</v>
      </c>
      <c r="AG20" s="141">
        <f t="shared" si="34"/>
        <v>1467</v>
      </c>
      <c r="AH20" s="139">
        <f t="shared" si="34"/>
        <v>1415</v>
      </c>
      <c r="AI20" s="140">
        <f t="shared" si="34"/>
        <v>1300</v>
      </c>
      <c r="AJ20" s="140">
        <f t="shared" ref="AJ20:AK20" si="35">+((AJ18*AJ6)+(AJ19*AJ7))/(AJ8)</f>
        <v>1365</v>
      </c>
      <c r="AK20" s="141">
        <f t="shared" si="35"/>
        <v>1505</v>
      </c>
      <c r="AL20" s="592"/>
      <c r="AM20" s="616"/>
      <c r="AN20" s="616"/>
      <c r="AO20" s="617"/>
      <c r="AP20" s="592"/>
      <c r="AQ20" s="616"/>
      <c r="AR20" s="616"/>
      <c r="AS20" s="617"/>
    </row>
    <row r="21" spans="1:45" s="208" customFormat="1" x14ac:dyDescent="0.25">
      <c r="A21" s="225"/>
      <c r="B21" s="227"/>
      <c r="C21" s="225"/>
      <c r="E21" s="227"/>
      <c r="F21" s="225"/>
      <c r="I21" s="227"/>
      <c r="J21" s="225"/>
      <c r="L21" s="243"/>
      <c r="M21" s="243"/>
      <c r="N21" s="288"/>
      <c r="O21" s="243"/>
      <c r="P21" s="243"/>
      <c r="Q21" s="243"/>
      <c r="R21" s="288"/>
      <c r="S21" s="243"/>
      <c r="T21" s="243"/>
      <c r="U21" s="243"/>
      <c r="V21" s="288"/>
      <c r="W21" s="243"/>
      <c r="X21" s="243"/>
      <c r="Y21" s="326"/>
      <c r="Z21" s="288"/>
      <c r="AA21" s="243"/>
      <c r="AB21" s="243"/>
      <c r="AC21" s="326"/>
      <c r="AD21" s="288"/>
      <c r="AE21" s="243"/>
      <c r="AF21" s="243"/>
      <c r="AG21" s="326"/>
      <c r="AH21" s="288"/>
      <c r="AI21" s="243"/>
      <c r="AJ21" s="243"/>
      <c r="AK21" s="326"/>
      <c r="AL21" s="591"/>
      <c r="AM21" s="614"/>
      <c r="AN21" s="614"/>
      <c r="AO21" s="615"/>
      <c r="AP21" s="591"/>
      <c r="AQ21" s="614"/>
      <c r="AR21" s="614"/>
      <c r="AS21" s="615"/>
    </row>
    <row r="22" spans="1:45" s="208" customFormat="1" ht="15.75" x14ac:dyDescent="0.25">
      <c r="A22" s="225"/>
      <c r="B22" s="328"/>
      <c r="C22" s="213"/>
      <c r="E22" s="227"/>
      <c r="F22" s="225"/>
      <c r="I22" s="227"/>
      <c r="J22" s="225"/>
      <c r="L22" s="243"/>
      <c r="M22" s="243"/>
      <c r="N22" s="288"/>
      <c r="O22" s="243"/>
      <c r="P22" s="243"/>
      <c r="Q22" s="243"/>
      <c r="R22" s="288"/>
      <c r="S22" s="243"/>
      <c r="T22" s="243"/>
      <c r="U22" s="243"/>
      <c r="V22" s="288"/>
      <c r="W22" s="243"/>
      <c r="X22" s="243"/>
      <c r="Y22" s="326"/>
      <c r="Z22" s="288"/>
      <c r="AA22" s="243"/>
      <c r="AB22" s="243"/>
      <c r="AC22" s="326"/>
      <c r="AD22" s="288"/>
      <c r="AE22" s="243"/>
      <c r="AF22" s="243"/>
      <c r="AG22" s="326"/>
      <c r="AH22" s="288"/>
      <c r="AI22" s="243"/>
      <c r="AJ22" s="243"/>
      <c r="AK22" s="326"/>
      <c r="AL22" s="591"/>
      <c r="AM22" s="614"/>
      <c r="AN22" s="614"/>
      <c r="AO22" s="615"/>
      <c r="AP22" s="591"/>
      <c r="AQ22" s="614"/>
      <c r="AR22" s="614"/>
      <c r="AS22" s="615"/>
    </row>
    <row r="23" spans="1:45" s="208" customFormat="1" x14ac:dyDescent="0.25">
      <c r="A23" s="225"/>
      <c r="B23" s="292" t="s">
        <v>135</v>
      </c>
      <c r="C23" s="213"/>
      <c r="E23" s="227"/>
      <c r="F23" s="569"/>
      <c r="I23" s="227"/>
      <c r="J23" s="225"/>
      <c r="L23" s="243"/>
      <c r="M23" s="243"/>
      <c r="N23" s="288"/>
      <c r="O23" s="243"/>
      <c r="P23" s="243"/>
      <c r="Q23" s="243"/>
      <c r="R23" s="288"/>
      <c r="S23" s="243"/>
      <c r="T23" s="243"/>
      <c r="U23" s="243"/>
      <c r="V23" s="288"/>
      <c r="W23" s="243"/>
      <c r="X23" s="243"/>
      <c r="Y23" s="326"/>
      <c r="Z23" s="288"/>
      <c r="AA23" s="243"/>
      <c r="AB23" s="243"/>
      <c r="AC23" s="326"/>
      <c r="AD23" s="288"/>
      <c r="AE23" s="243"/>
      <c r="AF23" s="243"/>
      <c r="AG23" s="326"/>
      <c r="AH23" s="288"/>
      <c r="AI23" s="243"/>
      <c r="AJ23" s="243"/>
      <c r="AK23" s="326"/>
      <c r="AL23" s="591"/>
      <c r="AM23" s="614"/>
      <c r="AN23" s="614"/>
      <c r="AO23" s="615"/>
      <c r="AP23" s="591"/>
      <c r="AQ23" s="614"/>
      <c r="AR23" s="614"/>
      <c r="AS23" s="615"/>
    </row>
    <row r="24" spans="1:45" s="208" customFormat="1" x14ac:dyDescent="0.25">
      <c r="A24" s="225"/>
      <c r="B24" s="250" t="s">
        <v>66</v>
      </c>
      <c r="C24" s="210">
        <v>658.3</v>
      </c>
      <c r="D24" s="223">
        <v>730</v>
      </c>
      <c r="E24" s="354">
        <v>585</v>
      </c>
      <c r="F24" s="569">
        <v>667.6</v>
      </c>
      <c r="G24" s="208">
        <v>636.4</v>
      </c>
      <c r="H24" s="355">
        <v>728.9</v>
      </c>
      <c r="I24" s="227">
        <v>828.49999999999989</v>
      </c>
      <c r="J24" s="288">
        <v>716.1</v>
      </c>
      <c r="K24" s="243">
        <v>783.1</v>
      </c>
      <c r="L24" s="275">
        <v>861.1</v>
      </c>
      <c r="M24" s="275">
        <v>1224.2</v>
      </c>
      <c r="N24" s="274">
        <v>1066.9000000000001</v>
      </c>
      <c r="O24" s="275">
        <f>1205.4-0.1</f>
        <v>1205.3000000000002</v>
      </c>
      <c r="P24" s="275">
        <v>1626.8</v>
      </c>
      <c r="Q24" s="275">
        <v>1691.3</v>
      </c>
      <c r="R24" s="211">
        <v>2046</v>
      </c>
      <c r="S24" s="242">
        <v>688</v>
      </c>
      <c r="T24" s="242">
        <v>2481</v>
      </c>
      <c r="U24" s="407">
        <v>2758</v>
      </c>
      <c r="V24" s="211">
        <v>3737</v>
      </c>
      <c r="W24" s="242">
        <v>2877</v>
      </c>
      <c r="X24" s="242">
        <v>1857</v>
      </c>
      <c r="Y24" s="407">
        <v>1822</v>
      </c>
      <c r="Z24" s="242">
        <v>2743</v>
      </c>
      <c r="AA24" s="242">
        <v>1665</v>
      </c>
      <c r="AB24" s="242">
        <v>2001</v>
      </c>
      <c r="AC24" s="407">
        <v>1962</v>
      </c>
      <c r="AD24" s="242">
        <v>1164</v>
      </c>
      <c r="AE24" s="242">
        <v>1085</v>
      </c>
      <c r="AF24" s="242">
        <v>978</v>
      </c>
      <c r="AG24" s="407">
        <v>1336</v>
      </c>
      <c r="AH24" s="242">
        <v>1494</v>
      </c>
      <c r="AI24" s="242">
        <v>1934</v>
      </c>
      <c r="AJ24" s="242">
        <v>1484</v>
      </c>
      <c r="AK24" s="407">
        <v>272</v>
      </c>
      <c r="AL24" s="596"/>
      <c r="AM24" s="596"/>
      <c r="AN24" s="596"/>
      <c r="AO24" s="622"/>
      <c r="AP24" s="596"/>
      <c r="AQ24" s="596"/>
      <c r="AR24" s="596"/>
      <c r="AS24" s="622"/>
    </row>
    <row r="25" spans="1:45" s="208" customFormat="1" x14ac:dyDescent="0.25">
      <c r="A25" s="225"/>
      <c r="B25" s="250" t="s">
        <v>132</v>
      </c>
      <c r="C25" s="276">
        <v>-586.5</v>
      </c>
      <c r="D25" s="244">
        <v>-557.59999999999991</v>
      </c>
      <c r="E25" s="315">
        <v>-545.70000000000005</v>
      </c>
      <c r="F25" s="570">
        <v>-585.20000000000005</v>
      </c>
      <c r="G25" s="244">
        <v>-580.4</v>
      </c>
      <c r="H25" s="244">
        <v>-612.1</v>
      </c>
      <c r="I25" s="315">
        <v>-618.20000000000027</v>
      </c>
      <c r="J25" s="276">
        <v>-624</v>
      </c>
      <c r="K25" s="244">
        <v>-631.6</v>
      </c>
      <c r="L25" s="244">
        <v>-693.7</v>
      </c>
      <c r="M25" s="244">
        <v>-790</v>
      </c>
      <c r="N25" s="276">
        <v>-689.1</v>
      </c>
      <c r="O25" s="244">
        <v>-769.6</v>
      </c>
      <c r="P25" s="244">
        <v>-801.69999999999993</v>
      </c>
      <c r="Q25" s="244">
        <v>-815.9</v>
      </c>
      <c r="R25" s="361">
        <v>-711</v>
      </c>
      <c r="S25" s="417">
        <v>-499</v>
      </c>
      <c r="T25" s="417">
        <v>-761</v>
      </c>
      <c r="U25" s="431">
        <v>-832</v>
      </c>
      <c r="V25" s="361">
        <v>-765</v>
      </c>
      <c r="W25" s="417">
        <v>-866</v>
      </c>
      <c r="X25" s="417">
        <v>-914</v>
      </c>
      <c r="Y25" s="431">
        <v>-871</v>
      </c>
      <c r="Z25" s="417">
        <v>-838</v>
      </c>
      <c r="AA25" s="417">
        <v>-937</v>
      </c>
      <c r="AB25" s="417">
        <v>-868</v>
      </c>
      <c r="AC25" s="431">
        <v>-905</v>
      </c>
      <c r="AD25" s="417">
        <v>-812</v>
      </c>
      <c r="AE25" s="417">
        <v>-865</v>
      </c>
      <c r="AF25" s="417">
        <v>-942</v>
      </c>
      <c r="AG25" s="431">
        <v>-1331</v>
      </c>
      <c r="AH25" s="417">
        <v>-1444</v>
      </c>
      <c r="AI25" s="417">
        <v>-1701</v>
      </c>
      <c r="AJ25" s="417">
        <v>-1291</v>
      </c>
      <c r="AK25" s="431">
        <v>-189</v>
      </c>
      <c r="AL25" s="598"/>
      <c r="AM25" s="598"/>
      <c r="AN25" s="598"/>
      <c r="AO25" s="625"/>
      <c r="AP25" s="598"/>
      <c r="AQ25" s="598"/>
      <c r="AR25" s="598"/>
      <c r="AS25" s="625"/>
    </row>
    <row r="26" spans="1:45" s="208" customFormat="1" x14ac:dyDescent="0.25">
      <c r="A26" s="225"/>
      <c r="B26" s="250"/>
      <c r="C26" s="210">
        <f t="shared" ref="C26:I26" si="36">+C25+C24</f>
        <v>71.799999999999955</v>
      </c>
      <c r="D26" s="277">
        <f t="shared" si="36"/>
        <v>172.40000000000009</v>
      </c>
      <c r="E26" s="356">
        <f t="shared" si="36"/>
        <v>39.299999999999955</v>
      </c>
      <c r="F26" s="573">
        <f t="shared" si="36"/>
        <v>82.399999999999977</v>
      </c>
      <c r="G26" s="277">
        <f t="shared" si="36"/>
        <v>56</v>
      </c>
      <c r="H26" s="277">
        <f>+H25+H24</f>
        <v>116.79999999999995</v>
      </c>
      <c r="I26" s="356">
        <f t="shared" si="36"/>
        <v>210.29999999999961</v>
      </c>
      <c r="J26" s="289">
        <f t="shared" ref="J26:Q26" si="37">+J25+J24</f>
        <v>92.100000000000023</v>
      </c>
      <c r="K26" s="277">
        <f t="shared" si="37"/>
        <v>151.5</v>
      </c>
      <c r="L26" s="277">
        <f t="shared" si="37"/>
        <v>167.39999999999998</v>
      </c>
      <c r="M26" s="277">
        <f t="shared" si="37"/>
        <v>434.20000000000005</v>
      </c>
      <c r="N26" s="289">
        <f t="shared" si="37"/>
        <v>377.80000000000007</v>
      </c>
      <c r="O26" s="277">
        <f t="shared" si="37"/>
        <v>435.70000000000016</v>
      </c>
      <c r="P26" s="277">
        <f t="shared" si="37"/>
        <v>825.1</v>
      </c>
      <c r="Q26" s="277">
        <f t="shared" si="37"/>
        <v>875.4</v>
      </c>
      <c r="R26" s="425">
        <f t="shared" ref="R26:S26" si="38">+R25+R24</f>
        <v>1335</v>
      </c>
      <c r="S26" s="359">
        <f t="shared" si="38"/>
        <v>189</v>
      </c>
      <c r="T26" s="426">
        <f t="shared" ref="T26:U26" si="39">+T25+T24</f>
        <v>1720</v>
      </c>
      <c r="U26" s="432">
        <f t="shared" si="39"/>
        <v>1926</v>
      </c>
      <c r="V26" s="425">
        <f t="shared" ref="V26:W26" si="40">+V25+V24</f>
        <v>2972</v>
      </c>
      <c r="W26" s="426">
        <f t="shared" si="40"/>
        <v>2011</v>
      </c>
      <c r="X26" s="426">
        <f t="shared" ref="X26:AA26" si="41">+X25+X24</f>
        <v>943</v>
      </c>
      <c r="Y26" s="432">
        <f t="shared" si="41"/>
        <v>951</v>
      </c>
      <c r="Z26" s="426">
        <f t="shared" si="41"/>
        <v>1905</v>
      </c>
      <c r="AA26" s="426">
        <f t="shared" si="41"/>
        <v>728</v>
      </c>
      <c r="AB26" s="426">
        <f t="shared" ref="AB26:AE26" si="42">+AB25+AB24</f>
        <v>1133</v>
      </c>
      <c r="AC26" s="432">
        <f t="shared" si="42"/>
        <v>1057</v>
      </c>
      <c r="AD26" s="426">
        <f t="shared" si="42"/>
        <v>352</v>
      </c>
      <c r="AE26" s="426">
        <f t="shared" si="42"/>
        <v>220</v>
      </c>
      <c r="AF26" s="426">
        <f t="shared" ref="AF26:AI26" si="43">+AF25+AF24</f>
        <v>36</v>
      </c>
      <c r="AG26" s="432">
        <f t="shared" si="43"/>
        <v>5</v>
      </c>
      <c r="AH26" s="426">
        <f t="shared" si="43"/>
        <v>50</v>
      </c>
      <c r="AI26" s="426">
        <f t="shared" si="43"/>
        <v>233</v>
      </c>
      <c r="AJ26" s="426">
        <f t="shared" ref="AJ26:AK26" si="44">+AJ25+AJ24</f>
        <v>193</v>
      </c>
      <c r="AK26" s="432">
        <f t="shared" si="44"/>
        <v>83</v>
      </c>
      <c r="AL26" s="599"/>
      <c r="AM26" s="599"/>
      <c r="AN26" s="599"/>
      <c r="AO26" s="626"/>
      <c r="AP26" s="599"/>
      <c r="AQ26" s="599"/>
      <c r="AR26" s="599"/>
      <c r="AS26" s="626"/>
    </row>
    <row r="27" spans="1:45" s="208" customFormat="1" x14ac:dyDescent="0.25">
      <c r="A27" s="225"/>
      <c r="B27" s="250" t="s">
        <v>67</v>
      </c>
      <c r="C27" s="210">
        <v>-55</v>
      </c>
      <c r="D27" s="221">
        <v>-53.5</v>
      </c>
      <c r="E27" s="222">
        <v>-54.400000000000006</v>
      </c>
      <c r="F27" s="571">
        <v>-59.5</v>
      </c>
      <c r="G27" s="221">
        <v>-55.099999999999994</v>
      </c>
      <c r="H27" s="221">
        <v>-59.099999999999994</v>
      </c>
      <c r="I27" s="222">
        <f>-239-SUM(F27:H27)</f>
        <v>-65.300000000000011</v>
      </c>
      <c r="J27" s="210">
        <v>-89.8</v>
      </c>
      <c r="K27" s="221">
        <v>-90.4</v>
      </c>
      <c r="L27" s="221">
        <v>-90.8</v>
      </c>
      <c r="M27" s="221">
        <v>-99.4</v>
      </c>
      <c r="N27" s="210">
        <v>-105</v>
      </c>
      <c r="O27" s="221">
        <f>-143.7+0.1</f>
        <v>-143.6</v>
      </c>
      <c r="P27" s="221">
        <v>-121.8</v>
      </c>
      <c r="Q27" s="221">
        <v>-124.4</v>
      </c>
      <c r="R27" s="213">
        <v>-108</v>
      </c>
      <c r="S27" s="214">
        <v>-73</v>
      </c>
      <c r="T27" s="214">
        <v>-106</v>
      </c>
      <c r="U27" s="259">
        <v>-122</v>
      </c>
      <c r="V27" s="213">
        <v>-99</v>
      </c>
      <c r="W27" s="214">
        <v>-121</v>
      </c>
      <c r="X27" s="214">
        <v>-132</v>
      </c>
      <c r="Y27" s="259">
        <v>-143</v>
      </c>
      <c r="Z27" s="214">
        <v>-42</v>
      </c>
      <c r="AA27" s="214">
        <v>-48</v>
      </c>
      <c r="AB27" s="214">
        <v>-42</v>
      </c>
      <c r="AC27" s="259">
        <v>-49</v>
      </c>
      <c r="AD27" s="214">
        <v>-46</v>
      </c>
      <c r="AE27" s="214">
        <v>-47</v>
      </c>
      <c r="AF27" s="214">
        <v>-53</v>
      </c>
      <c r="AG27" s="259">
        <v>-88</v>
      </c>
      <c r="AH27" s="214">
        <v>-111</v>
      </c>
      <c r="AI27" s="214">
        <v>-121</v>
      </c>
      <c r="AJ27" s="214">
        <v>-126</v>
      </c>
      <c r="AK27" s="259">
        <v>-131</v>
      </c>
      <c r="AL27" s="600"/>
      <c r="AM27" s="600"/>
      <c r="AN27" s="600"/>
      <c r="AO27" s="627"/>
      <c r="AP27" s="600"/>
      <c r="AQ27" s="600"/>
      <c r="AR27" s="600"/>
      <c r="AS27" s="627"/>
    </row>
    <row r="28" spans="1:45" s="208" customFormat="1" x14ac:dyDescent="0.25">
      <c r="A28" s="225"/>
      <c r="B28" s="250" t="s">
        <v>68</v>
      </c>
      <c r="C28" s="210">
        <v>-7.3000000000000007</v>
      </c>
      <c r="D28" s="221">
        <v>-58.699999999999989</v>
      </c>
      <c r="E28" s="222">
        <v>27.4</v>
      </c>
      <c r="F28" s="571">
        <v>-17.600000000000001</v>
      </c>
      <c r="G28" s="221">
        <v>-27.5</v>
      </c>
      <c r="H28" s="221">
        <v>-3.6</v>
      </c>
      <c r="I28" s="222">
        <f>-62.9-147.5</f>
        <v>-210.4</v>
      </c>
      <c r="J28" s="210">
        <v>-37.4</v>
      </c>
      <c r="K28" s="221">
        <v>8.1999999999999993</v>
      </c>
      <c r="L28" s="221">
        <f>-12.4-18.7+0.2</f>
        <v>-30.900000000000002</v>
      </c>
      <c r="M28" s="221">
        <f>-19.2+94.1</f>
        <v>74.899999999999991</v>
      </c>
      <c r="N28" s="210">
        <f>16.6-35.7+13.7-0.3-15.5</f>
        <v>-21.200000000000003</v>
      </c>
      <c r="O28" s="221">
        <f>14-37.3-17.9+0.2-26.5-0.1</f>
        <v>-67.599999999999994</v>
      </c>
      <c r="P28" s="221">
        <f>-20.5+27.6+44.8</f>
        <v>51.9</v>
      </c>
      <c r="Q28" s="221">
        <f>-32.3-69.7+0.1</f>
        <v>-101.9</v>
      </c>
      <c r="R28" s="213">
        <v>114</v>
      </c>
      <c r="S28" s="214">
        <v>-80</v>
      </c>
      <c r="T28" s="214">
        <v>-73</v>
      </c>
      <c r="U28" s="259">
        <v>12</v>
      </c>
      <c r="V28" s="213">
        <v>6</v>
      </c>
      <c r="W28" s="214">
        <v>-135</v>
      </c>
      <c r="X28" s="214">
        <v>117</v>
      </c>
      <c r="Y28" s="259">
        <v>167</v>
      </c>
      <c r="Z28" s="214">
        <v>-235</v>
      </c>
      <c r="AA28" s="214">
        <v>223</v>
      </c>
      <c r="AB28" s="214">
        <v>214</v>
      </c>
      <c r="AC28" s="259">
        <v>-31</v>
      </c>
      <c r="AD28" s="214">
        <v>106</v>
      </c>
      <c r="AE28" s="214">
        <v>57</v>
      </c>
      <c r="AF28" s="214">
        <v>155</v>
      </c>
      <c r="AG28" s="259">
        <v>661</v>
      </c>
      <c r="AH28" s="214">
        <v>178</v>
      </c>
      <c r="AI28" s="214">
        <v>-255</v>
      </c>
      <c r="AJ28" s="214">
        <v>-170</v>
      </c>
      <c r="AK28" s="259">
        <v>-88</v>
      </c>
      <c r="AL28" s="600"/>
      <c r="AM28" s="600"/>
      <c r="AN28" s="600"/>
      <c r="AO28" s="627"/>
      <c r="AP28" s="600"/>
      <c r="AQ28" s="600"/>
      <c r="AR28" s="600"/>
      <c r="AS28" s="627"/>
    </row>
    <row r="29" spans="1:45" s="208" customFormat="1" x14ac:dyDescent="0.25">
      <c r="A29" s="225"/>
      <c r="B29" s="250" t="s">
        <v>179</v>
      </c>
      <c r="C29" s="210">
        <v>-2.8</v>
      </c>
      <c r="D29" s="221">
        <v>-3.8</v>
      </c>
      <c r="E29" s="222">
        <v>-3.5999999999999996</v>
      </c>
      <c r="F29" s="571">
        <v>-1.1000000000000001</v>
      </c>
      <c r="G29" s="221">
        <v>-1.4</v>
      </c>
      <c r="H29" s="221">
        <v>-1.5</v>
      </c>
      <c r="I29" s="222">
        <f>-5.6-SUM(F29:H29)</f>
        <v>-1.5999999999999996</v>
      </c>
      <c r="J29" s="210">
        <v>-1.1000000000000001</v>
      </c>
      <c r="K29" s="221">
        <v>-1.3</v>
      </c>
      <c r="L29" s="221">
        <v>-1.5</v>
      </c>
      <c r="M29" s="221">
        <v>-1.6</v>
      </c>
      <c r="N29" s="210">
        <v>-1.6</v>
      </c>
      <c r="O29" s="221">
        <v>-1.6</v>
      </c>
      <c r="P29" s="221">
        <v>-1.7</v>
      </c>
      <c r="Q29" s="221">
        <f>-2.5-0.2</f>
        <v>-2.7</v>
      </c>
      <c r="R29" s="213">
        <v>-3</v>
      </c>
      <c r="S29" s="214">
        <v>-1</v>
      </c>
      <c r="T29" s="214">
        <v>-4</v>
      </c>
      <c r="U29" s="259">
        <v>-3</v>
      </c>
      <c r="V29" s="213">
        <v>-4</v>
      </c>
      <c r="W29" s="214">
        <v>-5</v>
      </c>
      <c r="X29" s="214">
        <v>-2</v>
      </c>
      <c r="Y29" s="259">
        <v>-3</v>
      </c>
      <c r="Z29" s="214">
        <v>-4</v>
      </c>
      <c r="AA29" s="214">
        <v>-3</v>
      </c>
      <c r="AB29" s="214">
        <v>-3</v>
      </c>
      <c r="AC29" s="259">
        <v>-3</v>
      </c>
      <c r="AD29" s="214">
        <v>-3</v>
      </c>
      <c r="AE29" s="214">
        <v>-1</v>
      </c>
      <c r="AF29" s="214">
        <v>-2</v>
      </c>
      <c r="AG29" s="259">
        <v>-3</v>
      </c>
      <c r="AH29" s="214">
        <v>-5</v>
      </c>
      <c r="AI29" s="214">
        <v>-3</v>
      </c>
      <c r="AJ29" s="214">
        <v>-2</v>
      </c>
      <c r="AK29" s="259">
        <v>-3</v>
      </c>
      <c r="AL29" s="600"/>
      <c r="AM29" s="600"/>
      <c r="AN29" s="600"/>
      <c r="AO29" s="627"/>
      <c r="AP29" s="600"/>
      <c r="AQ29" s="600"/>
      <c r="AR29" s="600"/>
      <c r="AS29" s="627"/>
    </row>
    <row r="30" spans="1:45" s="208" customFormat="1" x14ac:dyDescent="0.25">
      <c r="A30" s="225"/>
      <c r="B30" s="250" t="s">
        <v>69</v>
      </c>
      <c r="C30" s="210">
        <v>4.5</v>
      </c>
      <c r="D30" s="223">
        <v>13.8</v>
      </c>
      <c r="E30" s="222">
        <v>-1.4000000000000021</v>
      </c>
      <c r="F30" s="571">
        <v>-38.700000000000003</v>
      </c>
      <c r="G30" s="221">
        <v>10.600000000000001</v>
      </c>
      <c r="H30" s="221">
        <v>-14.5</v>
      </c>
      <c r="I30" s="222">
        <f>-24.8-SUM(F30:H30)</f>
        <v>17.8</v>
      </c>
      <c r="J30" s="210">
        <v>-0.5</v>
      </c>
      <c r="K30" s="221">
        <v>-19.899999999999999</v>
      </c>
      <c r="L30" s="221">
        <v>-14.1</v>
      </c>
      <c r="M30" s="221">
        <v>-134.5</v>
      </c>
      <c r="N30" s="210">
        <v>-73.599999999999994</v>
      </c>
      <c r="O30" s="221">
        <f>-62.6-0.1</f>
        <v>-62.7</v>
      </c>
      <c r="P30" s="221">
        <v>-215.5</v>
      </c>
      <c r="Q30" s="221">
        <v>-185</v>
      </c>
      <c r="R30" s="213">
        <v>-378</v>
      </c>
      <c r="S30" s="214">
        <v>-12</v>
      </c>
      <c r="T30" s="214">
        <v>-434</v>
      </c>
      <c r="U30" s="431">
        <v>-511</v>
      </c>
      <c r="V30" s="361">
        <v>-799</v>
      </c>
      <c r="W30" s="214">
        <v>-493</v>
      </c>
      <c r="X30" s="214">
        <v>-263</v>
      </c>
      <c r="Y30" s="259">
        <v>-274</v>
      </c>
      <c r="Z30" s="214">
        <v>-456</v>
      </c>
      <c r="AA30" s="214">
        <v>-258</v>
      </c>
      <c r="AB30" s="214">
        <v>-365</v>
      </c>
      <c r="AC30" s="259">
        <v>-270</v>
      </c>
      <c r="AD30" s="214">
        <v>-111</v>
      </c>
      <c r="AE30" s="214">
        <v>-61</v>
      </c>
      <c r="AF30" s="214">
        <v>12</v>
      </c>
      <c r="AG30" s="259">
        <v>62</v>
      </c>
      <c r="AH30" s="214">
        <v>87</v>
      </c>
      <c r="AI30" s="214">
        <v>-479</v>
      </c>
      <c r="AJ30" s="214">
        <v>103</v>
      </c>
      <c r="AK30" s="259">
        <v>290</v>
      </c>
      <c r="AL30" s="600"/>
      <c r="AM30" s="600"/>
      <c r="AN30" s="600"/>
      <c r="AO30" s="627"/>
      <c r="AP30" s="600"/>
      <c r="AQ30" s="600"/>
      <c r="AR30" s="600"/>
      <c r="AS30" s="627"/>
    </row>
    <row r="31" spans="1:45" ht="15.75" thickBot="1" x14ac:dyDescent="0.3">
      <c r="A31" s="225"/>
      <c r="B31" s="303" t="s">
        <v>70</v>
      </c>
      <c r="C31" s="145">
        <f t="shared" ref="C31:I31" si="45">SUM(C26:C30)</f>
        <v>11.199999999999953</v>
      </c>
      <c r="D31" s="146">
        <f t="shared" si="45"/>
        <v>70.200000000000102</v>
      </c>
      <c r="E31" s="147">
        <f t="shared" si="45"/>
        <v>7.2999999999999456</v>
      </c>
      <c r="F31" s="574">
        <f t="shared" si="45"/>
        <v>-34.500000000000028</v>
      </c>
      <c r="G31" s="146">
        <f t="shared" si="45"/>
        <v>-17.399999999999991</v>
      </c>
      <c r="H31" s="146">
        <f t="shared" si="45"/>
        <v>38.099999999999959</v>
      </c>
      <c r="I31" s="147">
        <f t="shared" si="45"/>
        <v>-49.200000000000401</v>
      </c>
      <c r="J31" s="145">
        <f t="shared" ref="J31:Q31" si="46">SUM(J26:J30)</f>
        <v>-36.699999999999974</v>
      </c>
      <c r="K31" s="146">
        <f t="shared" si="46"/>
        <v>48.1</v>
      </c>
      <c r="L31" s="146">
        <f t="shared" si="46"/>
        <v>30.099999999999973</v>
      </c>
      <c r="M31" s="146">
        <f t="shared" si="46"/>
        <v>273.60000000000002</v>
      </c>
      <c r="N31" s="145">
        <f t="shared" si="46"/>
        <v>176.40000000000009</v>
      </c>
      <c r="O31" s="146">
        <f t="shared" si="46"/>
        <v>160.20000000000016</v>
      </c>
      <c r="P31" s="146">
        <f t="shared" si="46"/>
        <v>538</v>
      </c>
      <c r="Q31" s="146">
        <f t="shared" si="46"/>
        <v>461.4</v>
      </c>
      <c r="R31" s="427">
        <f t="shared" ref="R31:S31" si="47">SUM(R26:R30)</f>
        <v>960</v>
      </c>
      <c r="S31" s="428">
        <f t="shared" si="47"/>
        <v>23</v>
      </c>
      <c r="T31" s="428">
        <f t="shared" ref="T31:U31" si="48">SUM(T26:T30)</f>
        <v>1103</v>
      </c>
      <c r="U31" s="428">
        <f t="shared" si="48"/>
        <v>1302</v>
      </c>
      <c r="V31" s="427">
        <f t="shared" ref="V31:W31" si="49">SUM(V26:V30)</f>
        <v>2076</v>
      </c>
      <c r="W31" s="428">
        <f t="shared" si="49"/>
        <v>1257</v>
      </c>
      <c r="X31" s="428">
        <f t="shared" ref="X31:AA31" si="50">SUM(X26:X30)</f>
        <v>663</v>
      </c>
      <c r="Y31" s="471">
        <f t="shared" si="50"/>
        <v>698</v>
      </c>
      <c r="Z31" s="427">
        <f t="shared" si="50"/>
        <v>1168</v>
      </c>
      <c r="AA31" s="428">
        <f t="shared" si="50"/>
        <v>642</v>
      </c>
      <c r="AB31" s="428">
        <f t="shared" ref="AB31:AE31" si="51">SUM(AB26:AB30)</f>
        <v>937</v>
      </c>
      <c r="AC31" s="471">
        <f t="shared" si="51"/>
        <v>704</v>
      </c>
      <c r="AD31" s="427">
        <f t="shared" si="51"/>
        <v>298</v>
      </c>
      <c r="AE31" s="428">
        <f t="shared" si="51"/>
        <v>168</v>
      </c>
      <c r="AF31" s="428">
        <f t="shared" ref="AF31:AI31" si="52">SUM(AF26:AF30)</f>
        <v>148</v>
      </c>
      <c r="AG31" s="471">
        <f t="shared" si="52"/>
        <v>637</v>
      </c>
      <c r="AH31" s="427">
        <f t="shared" si="52"/>
        <v>199</v>
      </c>
      <c r="AI31" s="441">
        <f t="shared" si="52"/>
        <v>-625</v>
      </c>
      <c r="AJ31" s="441">
        <f t="shared" ref="AJ31:AK31" si="53">SUM(AJ26:AJ30)</f>
        <v>-2</v>
      </c>
      <c r="AK31" s="471">
        <f t="shared" si="53"/>
        <v>151</v>
      </c>
      <c r="AL31" s="601"/>
      <c r="AM31" s="628"/>
      <c r="AN31" s="628"/>
      <c r="AO31" s="629"/>
      <c r="AP31" s="601"/>
      <c r="AQ31" s="628"/>
      <c r="AR31" s="628"/>
      <c r="AS31" s="629"/>
    </row>
    <row r="32" spans="1:45" s="208" customFormat="1" ht="15.75" thickTop="1" x14ac:dyDescent="0.25">
      <c r="A32" s="225"/>
      <c r="B32" s="250"/>
      <c r="C32" s="210"/>
      <c r="E32" s="227"/>
      <c r="F32" s="225"/>
      <c r="I32" s="227"/>
      <c r="J32" s="225"/>
      <c r="L32" s="243"/>
      <c r="M32" s="243"/>
      <c r="N32" s="288"/>
      <c r="O32" s="243"/>
      <c r="P32" s="243"/>
      <c r="Q32" s="243"/>
      <c r="R32" s="288"/>
      <c r="S32" s="243"/>
      <c r="T32" s="243"/>
      <c r="U32" s="243"/>
      <c r="V32" s="288"/>
      <c r="W32" s="243"/>
      <c r="X32" s="243"/>
      <c r="Y32" s="326"/>
      <c r="Z32" s="288"/>
      <c r="AA32" s="243"/>
      <c r="AB32" s="243"/>
      <c r="AC32" s="326"/>
      <c r="AD32" s="288"/>
      <c r="AE32" s="243"/>
      <c r="AF32" s="243"/>
      <c r="AG32" s="326"/>
      <c r="AH32" s="288"/>
      <c r="AI32" s="243"/>
      <c r="AJ32" s="243"/>
      <c r="AK32" s="326"/>
      <c r="AL32" s="591"/>
      <c r="AM32" s="614"/>
      <c r="AN32" s="614"/>
      <c r="AO32" s="615"/>
      <c r="AP32" s="591"/>
      <c r="AQ32" s="614"/>
      <c r="AR32" s="614"/>
      <c r="AS32" s="615"/>
    </row>
    <row r="33" spans="1:45" s="208" customFormat="1" x14ac:dyDescent="0.25">
      <c r="A33" s="225"/>
      <c r="B33" s="292" t="s">
        <v>134</v>
      </c>
      <c r="C33" s="213"/>
      <c r="E33" s="227"/>
      <c r="F33" s="225"/>
      <c r="I33" s="227"/>
      <c r="J33" s="225"/>
      <c r="L33" s="243"/>
      <c r="M33" s="243"/>
      <c r="N33" s="288"/>
      <c r="O33" s="243"/>
      <c r="P33" s="243"/>
      <c r="Q33" s="243"/>
      <c r="R33" s="288"/>
      <c r="S33" s="243"/>
      <c r="T33" s="243"/>
      <c r="U33" s="243"/>
      <c r="V33" s="288"/>
      <c r="W33" s="243"/>
      <c r="X33" s="243"/>
      <c r="Y33" s="326"/>
      <c r="Z33" s="288"/>
      <c r="AA33" s="243"/>
      <c r="AB33" s="243"/>
      <c r="AC33" s="326"/>
      <c r="AD33" s="288"/>
      <c r="AE33" s="243"/>
      <c r="AF33" s="243"/>
      <c r="AG33" s="326"/>
      <c r="AH33" s="288"/>
      <c r="AI33" s="243"/>
      <c r="AJ33" s="243"/>
      <c r="AK33" s="326"/>
      <c r="AL33" s="591"/>
      <c r="AM33" s="614"/>
      <c r="AN33" s="614"/>
      <c r="AO33" s="615"/>
      <c r="AP33" s="591"/>
      <c r="AQ33" s="614"/>
      <c r="AR33" s="614"/>
      <c r="AS33" s="615"/>
    </row>
    <row r="34" spans="1:45" s="208" customFormat="1" x14ac:dyDescent="0.25">
      <c r="A34" s="225"/>
      <c r="B34" s="227" t="s">
        <v>59</v>
      </c>
      <c r="C34" s="210"/>
      <c r="E34" s="227"/>
      <c r="F34" s="225"/>
      <c r="I34" s="227"/>
      <c r="J34" s="225"/>
      <c r="L34" s="243"/>
      <c r="M34" s="243"/>
      <c r="N34" s="288"/>
      <c r="O34" s="243"/>
      <c r="P34" s="243"/>
      <c r="Q34" s="243"/>
      <c r="R34" s="288"/>
      <c r="S34" s="243"/>
      <c r="T34" s="243"/>
      <c r="U34" s="243"/>
      <c r="V34" s="288"/>
      <c r="W34" s="243"/>
      <c r="X34" s="243"/>
      <c r="Y34" s="326"/>
      <c r="Z34" s="288"/>
      <c r="AA34" s="243"/>
      <c r="AB34" s="243"/>
      <c r="AC34" s="326"/>
      <c r="AD34" s="288"/>
      <c r="AE34" s="243"/>
      <c r="AF34" s="243"/>
      <c r="AG34" s="326"/>
      <c r="AH34" s="288"/>
      <c r="AI34" s="243"/>
      <c r="AJ34" s="243"/>
      <c r="AK34" s="326"/>
      <c r="AL34" s="591"/>
      <c r="AM34" s="614"/>
      <c r="AN34" s="614"/>
      <c r="AO34" s="615"/>
      <c r="AP34" s="591"/>
      <c r="AQ34" s="614"/>
      <c r="AR34" s="614"/>
      <c r="AS34" s="615"/>
    </row>
    <row r="35" spans="1:45" s="208" customFormat="1" x14ac:dyDescent="0.25">
      <c r="A35" s="225"/>
      <c r="B35" s="227" t="s">
        <v>61</v>
      </c>
      <c r="C35" s="210">
        <v>67.3</v>
      </c>
      <c r="D35" s="208">
        <v>41.5</v>
      </c>
      <c r="E35" s="354">
        <v>67</v>
      </c>
      <c r="F35" s="225">
        <v>23.7</v>
      </c>
      <c r="G35" s="208">
        <v>55.2</v>
      </c>
      <c r="H35" s="208">
        <v>40.6</v>
      </c>
      <c r="I35" s="354">
        <v>71</v>
      </c>
      <c r="J35" s="289">
        <f>20.9</f>
        <v>20.9</v>
      </c>
      <c r="K35" s="277">
        <v>29</v>
      </c>
      <c r="L35" s="243">
        <v>31.9</v>
      </c>
      <c r="M35" s="243">
        <v>59.6</v>
      </c>
      <c r="N35" s="288">
        <v>25.2</v>
      </c>
      <c r="O35" s="243">
        <v>51.3</v>
      </c>
      <c r="P35" s="277">
        <v>57</v>
      </c>
      <c r="Q35" s="243">
        <v>79.3</v>
      </c>
      <c r="R35" s="360">
        <v>40</v>
      </c>
      <c r="S35" s="359">
        <v>21</v>
      </c>
      <c r="T35" s="359">
        <v>38</v>
      </c>
      <c r="U35" s="359">
        <v>89</v>
      </c>
      <c r="V35" s="360">
        <v>35</v>
      </c>
      <c r="W35" s="359">
        <v>68</v>
      </c>
      <c r="X35" s="359">
        <v>58</v>
      </c>
      <c r="Y35" s="454">
        <v>107</v>
      </c>
      <c r="Z35" s="360">
        <v>46</v>
      </c>
      <c r="AA35" s="359">
        <v>68</v>
      </c>
      <c r="AB35" s="359">
        <v>80</v>
      </c>
      <c r="AC35" s="454">
        <v>78</v>
      </c>
      <c r="AD35" s="360">
        <v>48</v>
      </c>
      <c r="AE35" s="359">
        <v>64</v>
      </c>
      <c r="AF35" s="359">
        <v>59</v>
      </c>
      <c r="AG35" s="454">
        <v>115</v>
      </c>
      <c r="AH35" s="360">
        <v>68</v>
      </c>
      <c r="AI35" s="359">
        <v>122</v>
      </c>
      <c r="AJ35" s="359">
        <v>112</v>
      </c>
      <c r="AK35" s="454">
        <v>202</v>
      </c>
      <c r="AL35" s="602"/>
      <c r="AM35" s="630"/>
      <c r="AN35" s="630"/>
      <c r="AO35" s="631"/>
      <c r="AP35" s="602"/>
      <c r="AQ35" s="630"/>
      <c r="AR35" s="630"/>
      <c r="AS35" s="631"/>
    </row>
    <row r="36" spans="1:45" s="208" customFormat="1" x14ac:dyDescent="0.25">
      <c r="A36" s="225"/>
      <c r="B36" s="227" t="s">
        <v>63</v>
      </c>
      <c r="C36" s="210"/>
      <c r="E36" s="227"/>
      <c r="F36" s="225"/>
      <c r="I36" s="227"/>
      <c r="J36" s="288"/>
      <c r="L36" s="243"/>
      <c r="M36" s="243"/>
      <c r="N36" s="288"/>
      <c r="O36" s="243"/>
      <c r="P36" s="243"/>
      <c r="Q36" s="243"/>
      <c r="R36" s="360"/>
      <c r="S36" s="359"/>
      <c r="T36" s="359"/>
      <c r="U36" s="359"/>
      <c r="V36" s="360"/>
      <c r="W36" s="359"/>
      <c r="X36" s="359"/>
      <c r="Y36" s="454"/>
      <c r="Z36" s="360"/>
      <c r="AA36" s="359"/>
      <c r="AB36" s="359"/>
      <c r="AC36" s="454"/>
      <c r="AD36" s="360">
        <v>1</v>
      </c>
      <c r="AE36" s="359">
        <v>17</v>
      </c>
      <c r="AF36" s="359"/>
      <c r="AG36" s="454">
        <v>2</v>
      </c>
      <c r="AH36" s="360">
        <v>0</v>
      </c>
      <c r="AI36" s="359">
        <v>0</v>
      </c>
      <c r="AJ36" s="359">
        <v>0</v>
      </c>
      <c r="AK36" s="454">
        <v>0</v>
      </c>
      <c r="AL36" s="602"/>
      <c r="AM36" s="630"/>
      <c r="AN36" s="630"/>
      <c r="AO36" s="631"/>
      <c r="AP36" s="602"/>
      <c r="AQ36" s="630"/>
      <c r="AR36" s="630"/>
      <c r="AS36" s="631"/>
    </row>
    <row r="37" spans="1:45" x14ac:dyDescent="0.25">
      <c r="A37" s="225"/>
      <c r="B37" s="290" t="s">
        <v>64</v>
      </c>
      <c r="C37" s="152">
        <f t="shared" ref="C37:I37" si="54">+C36+C35+C34</f>
        <v>67.3</v>
      </c>
      <c r="D37" s="153">
        <f t="shared" si="54"/>
        <v>41.5</v>
      </c>
      <c r="E37" s="154">
        <f t="shared" si="54"/>
        <v>67</v>
      </c>
      <c r="F37" s="152">
        <f t="shared" si="54"/>
        <v>23.7</v>
      </c>
      <c r="G37" s="153">
        <f t="shared" si="54"/>
        <v>55.2</v>
      </c>
      <c r="H37" s="153">
        <f t="shared" si="54"/>
        <v>40.6</v>
      </c>
      <c r="I37" s="154">
        <f t="shared" si="54"/>
        <v>71</v>
      </c>
      <c r="J37" s="152">
        <f t="shared" ref="J37:Q37" si="55">+J36+J35+J34</f>
        <v>20.9</v>
      </c>
      <c r="K37" s="153">
        <f t="shared" si="55"/>
        <v>29</v>
      </c>
      <c r="L37" s="153">
        <f t="shared" si="55"/>
        <v>31.9</v>
      </c>
      <c r="M37" s="153">
        <f t="shared" si="55"/>
        <v>59.6</v>
      </c>
      <c r="N37" s="152">
        <f t="shared" si="55"/>
        <v>25.2</v>
      </c>
      <c r="O37" s="153">
        <f t="shared" si="55"/>
        <v>51.3</v>
      </c>
      <c r="P37" s="153">
        <f t="shared" si="55"/>
        <v>57</v>
      </c>
      <c r="Q37" s="153">
        <f t="shared" si="55"/>
        <v>79.3</v>
      </c>
      <c r="R37" s="429">
        <f t="shared" ref="R37:S37" si="56">+R36+R35+R34</f>
        <v>40</v>
      </c>
      <c r="S37" s="430">
        <f t="shared" si="56"/>
        <v>21</v>
      </c>
      <c r="T37" s="430">
        <f t="shared" ref="T37:U37" si="57">+T36+T35+T34</f>
        <v>38</v>
      </c>
      <c r="U37" s="430">
        <f t="shared" si="57"/>
        <v>89</v>
      </c>
      <c r="V37" s="429">
        <f t="shared" ref="V37:W37" si="58">+V36+V35+V34</f>
        <v>35</v>
      </c>
      <c r="W37" s="430">
        <f t="shared" si="58"/>
        <v>68</v>
      </c>
      <c r="X37" s="430">
        <f t="shared" ref="X37:AA37" si="59">+X36+X35+X34</f>
        <v>58</v>
      </c>
      <c r="Y37" s="472">
        <f t="shared" si="59"/>
        <v>107</v>
      </c>
      <c r="Z37" s="429">
        <f t="shared" si="59"/>
        <v>46</v>
      </c>
      <c r="AA37" s="430">
        <f t="shared" si="59"/>
        <v>68</v>
      </c>
      <c r="AB37" s="430">
        <f t="shared" ref="AB37:AE37" si="60">+AB36+AB35+AB34</f>
        <v>80</v>
      </c>
      <c r="AC37" s="472">
        <f t="shared" si="60"/>
        <v>78</v>
      </c>
      <c r="AD37" s="429">
        <f t="shared" si="60"/>
        <v>49</v>
      </c>
      <c r="AE37" s="430">
        <f t="shared" si="60"/>
        <v>81</v>
      </c>
      <c r="AF37" s="430">
        <f t="shared" ref="AF37:AI37" si="61">+AF36+AF35+AF34</f>
        <v>59</v>
      </c>
      <c r="AG37" s="472">
        <f t="shared" si="61"/>
        <v>117</v>
      </c>
      <c r="AH37" s="429">
        <f t="shared" si="61"/>
        <v>68</v>
      </c>
      <c r="AI37" s="430">
        <f t="shared" si="61"/>
        <v>122</v>
      </c>
      <c r="AJ37" s="430">
        <f t="shared" ref="AJ37:AK37" si="62">+AJ36+AJ35+AJ34</f>
        <v>112</v>
      </c>
      <c r="AK37" s="472">
        <f t="shared" si="62"/>
        <v>202</v>
      </c>
      <c r="AL37" s="603"/>
      <c r="AM37" s="632"/>
      <c r="AN37" s="632"/>
      <c r="AO37" s="633"/>
      <c r="AP37" s="603"/>
      <c r="AQ37" s="632"/>
      <c r="AR37" s="632"/>
      <c r="AS37" s="633"/>
    </row>
    <row r="38" spans="1:45" s="208" customFormat="1" x14ac:dyDescent="0.25">
      <c r="A38" s="225"/>
      <c r="B38" s="250"/>
      <c r="C38" s="210"/>
      <c r="E38" s="227"/>
      <c r="F38" s="225"/>
      <c r="I38" s="227"/>
      <c r="J38" s="288"/>
      <c r="L38" s="243"/>
      <c r="M38" s="243"/>
      <c r="N38" s="288"/>
      <c r="O38" s="243"/>
      <c r="P38" s="243"/>
      <c r="Q38" s="243"/>
      <c r="R38" s="288"/>
      <c r="S38" s="243"/>
      <c r="T38" s="243"/>
      <c r="U38" s="243"/>
      <c r="V38" s="288"/>
      <c r="W38" s="243"/>
      <c r="X38" s="243"/>
      <c r="Y38" s="326"/>
      <c r="Z38" s="288"/>
      <c r="AA38" s="243"/>
      <c r="AB38" s="243"/>
      <c r="AC38" s="326"/>
      <c r="AD38" s="288"/>
      <c r="AE38" s="243"/>
      <c r="AF38" s="243"/>
      <c r="AG38" s="326"/>
      <c r="AH38" s="288"/>
      <c r="AI38" s="243"/>
      <c r="AJ38" s="243"/>
      <c r="AK38" s="326"/>
      <c r="AL38" s="591"/>
      <c r="AM38" s="614"/>
      <c r="AN38" s="614"/>
      <c r="AO38" s="615"/>
      <c r="AP38" s="591"/>
      <c r="AQ38" s="614"/>
      <c r="AR38" s="614"/>
      <c r="AS38" s="615"/>
    </row>
    <row r="39" spans="1:45" s="208" customFormat="1" ht="15.75" x14ac:dyDescent="0.25">
      <c r="A39" s="225"/>
      <c r="B39" s="328"/>
      <c r="C39" s="213"/>
      <c r="E39" s="227"/>
      <c r="F39" s="225"/>
      <c r="I39" s="227"/>
      <c r="J39" s="288"/>
      <c r="L39" s="243"/>
      <c r="M39" s="243"/>
      <c r="N39" s="288"/>
      <c r="O39" s="243"/>
      <c r="P39" s="243"/>
      <c r="Q39" s="243"/>
      <c r="R39" s="288"/>
      <c r="S39" s="243"/>
      <c r="T39" s="243"/>
      <c r="U39" s="243"/>
      <c r="V39" s="288"/>
      <c r="W39" s="243"/>
      <c r="X39" s="243"/>
      <c r="Y39" s="326"/>
      <c r="Z39" s="288"/>
      <c r="AA39" s="243"/>
      <c r="AB39" s="243"/>
      <c r="AC39" s="326"/>
      <c r="AD39" s="288"/>
      <c r="AE39" s="243"/>
      <c r="AF39" s="243"/>
      <c r="AG39" s="326"/>
      <c r="AH39" s="288"/>
      <c r="AI39" s="243"/>
      <c r="AJ39" s="243"/>
      <c r="AK39" s="326"/>
      <c r="AL39" s="591"/>
      <c r="AM39" s="614"/>
      <c r="AN39" s="614"/>
      <c r="AO39" s="615"/>
      <c r="AP39" s="591"/>
      <c r="AQ39" s="614"/>
      <c r="AR39" s="614"/>
      <c r="AS39" s="615"/>
    </row>
    <row r="40" spans="1:45" s="208" customFormat="1" x14ac:dyDescent="0.25">
      <c r="A40" s="225"/>
      <c r="B40" s="292" t="s">
        <v>71</v>
      </c>
      <c r="C40" s="213"/>
      <c r="E40" s="227"/>
      <c r="F40" s="225"/>
      <c r="I40" s="227"/>
      <c r="J40" s="288"/>
      <c r="L40" s="243"/>
      <c r="M40" s="243"/>
      <c r="N40" s="288"/>
      <c r="O40" s="243"/>
      <c r="P40" s="243"/>
      <c r="Q40" s="243"/>
      <c r="R40" s="288"/>
      <c r="S40" s="243"/>
      <c r="T40" s="243"/>
      <c r="U40" s="243"/>
      <c r="V40" s="288"/>
      <c r="W40" s="243"/>
      <c r="X40" s="243"/>
      <c r="Y40" s="326"/>
      <c r="Z40" s="288"/>
      <c r="AA40" s="243"/>
      <c r="AB40" s="243"/>
      <c r="AC40" s="326"/>
      <c r="AD40" s="288"/>
      <c r="AE40" s="243"/>
      <c r="AF40" s="243"/>
      <c r="AG40" s="326"/>
      <c r="AH40" s="288"/>
      <c r="AI40" s="243"/>
      <c r="AJ40" s="243"/>
      <c r="AK40" s="326"/>
      <c r="AL40" s="591"/>
      <c r="AM40" s="614"/>
      <c r="AN40" s="614"/>
      <c r="AO40" s="615"/>
      <c r="AP40" s="591"/>
      <c r="AQ40" s="614"/>
      <c r="AR40" s="614"/>
      <c r="AS40" s="615"/>
    </row>
    <row r="41" spans="1:45" s="208" customFormat="1" x14ac:dyDescent="0.25">
      <c r="A41" s="225"/>
      <c r="B41" s="227" t="s">
        <v>101</v>
      </c>
      <c r="C41" s="211">
        <v>12578</v>
      </c>
      <c r="D41" s="253">
        <v>12949</v>
      </c>
      <c r="E41" s="352">
        <v>11688</v>
      </c>
      <c r="F41" s="226">
        <v>12062</v>
      </c>
      <c r="G41" s="253">
        <v>12000</v>
      </c>
      <c r="H41" s="253">
        <v>12520</v>
      </c>
      <c r="I41" s="352">
        <v>13677</v>
      </c>
      <c r="J41" s="211">
        <v>12955</v>
      </c>
      <c r="K41" s="242">
        <v>13447</v>
      </c>
      <c r="L41" s="242">
        <v>14446</v>
      </c>
      <c r="M41" s="242">
        <v>15901</v>
      </c>
      <c r="N41" s="211">
        <v>17182</v>
      </c>
      <c r="O41" s="242">
        <v>17918</v>
      </c>
      <c r="P41" s="242">
        <v>21053</v>
      </c>
      <c r="Q41" s="242">
        <v>25005</v>
      </c>
      <c r="R41" s="211">
        <v>36011</v>
      </c>
      <c r="S41" s="242">
        <v>34428</v>
      </c>
      <c r="T41" s="242">
        <v>40595</v>
      </c>
      <c r="U41" s="242">
        <v>44648</v>
      </c>
      <c r="V41" s="211">
        <v>58377</v>
      </c>
      <c r="W41" s="242">
        <v>60058</v>
      </c>
      <c r="X41" s="242">
        <v>46357</v>
      </c>
      <c r="Y41" s="407">
        <v>41043</v>
      </c>
      <c r="Z41" s="211">
        <v>48327</v>
      </c>
      <c r="AA41" s="242">
        <v>44461</v>
      </c>
      <c r="AB41" s="242">
        <v>44972</v>
      </c>
      <c r="AC41" s="407">
        <v>44636</v>
      </c>
      <c r="AD41" s="211">
        <v>38142</v>
      </c>
      <c r="AE41" s="242">
        <v>32564</v>
      </c>
      <c r="AF41" s="242">
        <v>24968</v>
      </c>
      <c r="AG41" s="407">
        <v>24570</v>
      </c>
      <c r="AH41" s="211">
        <v>24566</v>
      </c>
      <c r="AI41" s="242">
        <v>25455</v>
      </c>
      <c r="AJ41" s="242">
        <v>24447</v>
      </c>
      <c r="AK41" s="407">
        <v>24412</v>
      </c>
      <c r="AL41" s="595"/>
      <c r="AM41" s="596"/>
      <c r="AN41" s="596"/>
      <c r="AO41" s="622"/>
      <c r="AP41" s="595"/>
      <c r="AQ41" s="596"/>
      <c r="AR41" s="596"/>
      <c r="AS41" s="622"/>
    </row>
    <row r="42" spans="1:45" s="208" customFormat="1" x14ac:dyDescent="0.25">
      <c r="A42" s="225"/>
      <c r="B42" s="227" t="s">
        <v>102</v>
      </c>
      <c r="C42" s="211">
        <v>836</v>
      </c>
      <c r="D42" s="253">
        <v>914</v>
      </c>
      <c r="E42" s="352">
        <v>842</v>
      </c>
      <c r="F42" s="226">
        <v>913</v>
      </c>
      <c r="G42" s="253">
        <v>909</v>
      </c>
      <c r="H42" s="253">
        <v>950</v>
      </c>
      <c r="I42" s="352">
        <v>1003</v>
      </c>
      <c r="J42" s="211">
        <v>1083</v>
      </c>
      <c r="K42" s="242">
        <v>1063</v>
      </c>
      <c r="L42" s="242">
        <v>1028</v>
      </c>
      <c r="M42" s="242">
        <v>1111</v>
      </c>
      <c r="N42" s="357">
        <f t="shared" ref="N42:S42" si="63">N41/N51</f>
        <v>1226.4097073518915</v>
      </c>
      <c r="O42" s="358">
        <f t="shared" si="63"/>
        <v>1245.1702571230021</v>
      </c>
      <c r="P42" s="358">
        <f t="shared" si="63"/>
        <v>1435.1056578050443</v>
      </c>
      <c r="Q42" s="358">
        <f t="shared" si="63"/>
        <v>1698.7092391304348</v>
      </c>
      <c r="R42" s="357">
        <f t="shared" si="63"/>
        <v>2341.4174252275679</v>
      </c>
      <c r="S42" s="358">
        <f t="shared" si="63"/>
        <v>1917.9944289693594</v>
      </c>
      <c r="T42" s="358">
        <f t="shared" ref="T42:U42" si="64">T41/T51</f>
        <v>2400.6505026611471</v>
      </c>
      <c r="U42" s="358">
        <f t="shared" si="64"/>
        <v>2860.2178090967332</v>
      </c>
      <c r="V42" s="357">
        <f t="shared" ref="V42:W42" si="65">V41/V51</f>
        <v>3902.205882352941</v>
      </c>
      <c r="W42" s="358">
        <f t="shared" si="65"/>
        <v>4250.3892427459305</v>
      </c>
      <c r="X42" s="358">
        <f t="shared" ref="X42:AA42" si="66">X41/X51</f>
        <v>3168.6261107313735</v>
      </c>
      <c r="Y42" s="409">
        <f t="shared" si="66"/>
        <v>2661.6731517509729</v>
      </c>
      <c r="Z42" s="357">
        <f t="shared" si="66"/>
        <v>3175.2299605781864</v>
      </c>
      <c r="AA42" s="358">
        <f t="shared" si="66"/>
        <v>2851.8922386144964</v>
      </c>
      <c r="AB42" s="358">
        <f t="shared" ref="AB42:AE42" si="67">AB41/AB51</f>
        <v>2637.6539589442814</v>
      </c>
      <c r="AC42" s="409">
        <f t="shared" si="67"/>
        <v>2534.6961953435548</v>
      </c>
      <c r="AD42" s="357">
        <f t="shared" si="67"/>
        <v>2147.635135135135</v>
      </c>
      <c r="AE42" s="358">
        <f t="shared" si="67"/>
        <v>1745.123258306538</v>
      </c>
      <c r="AF42" s="358">
        <f t="shared" ref="AF42:AI42" si="68">AF41/AF51</f>
        <v>1343.08768154922</v>
      </c>
      <c r="AG42" s="409">
        <f t="shared" si="68"/>
        <v>1317.4262734584452</v>
      </c>
      <c r="AH42" s="357">
        <f t="shared" si="68"/>
        <v>1302.5450689289503</v>
      </c>
      <c r="AI42" s="358">
        <f t="shared" si="68"/>
        <v>1370.7592891760905</v>
      </c>
      <c r="AJ42" s="358">
        <f t="shared" ref="AJ42:AK42" si="69">AJ41/AJ51</f>
        <v>1361.1915367483296</v>
      </c>
      <c r="AK42" s="409">
        <f t="shared" si="69"/>
        <v>1365.3243847874721</v>
      </c>
      <c r="AL42" s="604"/>
      <c r="AM42" s="634"/>
      <c r="AN42" s="634"/>
      <c r="AO42" s="635"/>
      <c r="AP42" s="604"/>
      <c r="AQ42" s="634"/>
      <c r="AR42" s="634"/>
      <c r="AS42" s="635"/>
    </row>
    <row r="43" spans="1:45" s="208" customFormat="1" x14ac:dyDescent="0.25">
      <c r="A43" s="225"/>
      <c r="B43" s="227" t="s">
        <v>107</v>
      </c>
      <c r="C43" s="211">
        <v>9683</v>
      </c>
      <c r="D43" s="253">
        <v>9453</v>
      </c>
      <c r="E43" s="352">
        <v>9368</v>
      </c>
      <c r="F43" s="226">
        <f t="shared" ref="F43:K43" si="70">-+F25/F16*1000000</f>
        <v>10430.257013510143</v>
      </c>
      <c r="G43" s="253">
        <f t="shared" si="70"/>
        <v>9919.1632628646621</v>
      </c>
      <c r="H43" s="253">
        <f t="shared" si="70"/>
        <v>9931.3679360083079</v>
      </c>
      <c r="I43" s="352">
        <f t="shared" si="70"/>
        <v>9514.5750607935515</v>
      </c>
      <c r="J43" s="211">
        <f>-+J25/J16*1000000-7</f>
        <v>10985.882813050524</v>
      </c>
      <c r="K43" s="242">
        <f t="shared" si="70"/>
        <v>9915.6946167009446</v>
      </c>
      <c r="L43" s="242">
        <v>10665</v>
      </c>
      <c r="M43" s="242">
        <v>10595</v>
      </c>
      <c r="N43" s="211">
        <v>11335</v>
      </c>
      <c r="O43" s="242">
        <v>9765</v>
      </c>
      <c r="P43" s="242">
        <v>11003</v>
      </c>
      <c r="Q43" s="242">
        <v>11538</v>
      </c>
      <c r="R43" s="211">
        <v>12561</v>
      </c>
      <c r="S43" s="242">
        <v>16679</v>
      </c>
      <c r="T43" s="242">
        <v>13302</v>
      </c>
      <c r="U43" s="242">
        <v>12793</v>
      </c>
      <c r="V43" s="211">
        <v>13351</v>
      </c>
      <c r="W43" s="242">
        <v>13383</v>
      </c>
      <c r="X43" s="242">
        <v>13834</v>
      </c>
      <c r="Y43" s="407">
        <v>15303</v>
      </c>
      <c r="Z43" s="211">
        <v>15893</v>
      </c>
      <c r="AA43" s="242">
        <v>16545</v>
      </c>
      <c r="AB43" s="242">
        <v>17041</v>
      </c>
      <c r="AC43" s="407">
        <v>18138</v>
      </c>
      <c r="AD43" s="211">
        <v>19642</v>
      </c>
      <c r="AE43" s="242">
        <v>20364</v>
      </c>
      <c r="AF43" s="242">
        <v>19727</v>
      </c>
      <c r="AG43" s="407">
        <v>23941</v>
      </c>
      <c r="AH43" s="211">
        <v>24448</v>
      </c>
      <c r="AI43" s="242">
        <v>22169</v>
      </c>
      <c r="AJ43" s="242">
        <v>23215</v>
      </c>
      <c r="AK43" s="407">
        <v>25008</v>
      </c>
      <c r="AL43" s="595"/>
      <c r="AM43" s="596"/>
      <c r="AN43" s="596"/>
      <c r="AO43" s="622"/>
      <c r="AP43" s="595"/>
      <c r="AQ43" s="596"/>
      <c r="AR43" s="596"/>
      <c r="AS43" s="622"/>
    </row>
    <row r="44" spans="1:45" s="208" customFormat="1" x14ac:dyDescent="0.25">
      <c r="A44" s="225"/>
      <c r="B44" s="227" t="s">
        <v>108</v>
      </c>
      <c r="C44" s="211">
        <v>642</v>
      </c>
      <c r="D44" s="253">
        <v>672</v>
      </c>
      <c r="E44" s="352">
        <v>675</v>
      </c>
      <c r="F44" s="226">
        <v>790</v>
      </c>
      <c r="G44" s="253">
        <v>751</v>
      </c>
      <c r="H44" s="253">
        <v>754</v>
      </c>
      <c r="I44" s="352">
        <v>698</v>
      </c>
      <c r="J44" s="211">
        <v>919</v>
      </c>
      <c r="K44" s="242">
        <v>784</v>
      </c>
      <c r="L44" s="242">
        <v>759</v>
      </c>
      <c r="M44" s="358">
        <f>M43/M51+1</f>
        <v>741.3913347309574</v>
      </c>
      <c r="N44" s="357">
        <f t="shared" ref="N44:S44" si="71">N43/N51</f>
        <v>809.06495360456813</v>
      </c>
      <c r="O44" s="358">
        <f t="shared" si="71"/>
        <v>678.59624739402364</v>
      </c>
      <c r="P44" s="358">
        <f t="shared" si="71"/>
        <v>750.03408316291757</v>
      </c>
      <c r="Q44" s="358">
        <f t="shared" si="71"/>
        <v>783.83152173913038</v>
      </c>
      <c r="R44" s="357">
        <f t="shared" si="71"/>
        <v>816.71001300390117</v>
      </c>
      <c r="S44" s="358">
        <f t="shared" si="71"/>
        <v>929.19220055710309</v>
      </c>
      <c r="T44" s="358">
        <f t="shared" ref="T44:U44" si="72">T43/T51</f>
        <v>786.63512714370199</v>
      </c>
      <c r="U44" s="358">
        <f t="shared" si="72"/>
        <v>819.53875720691872</v>
      </c>
      <c r="V44" s="357">
        <f t="shared" ref="V44:W44" si="73">V43/V51</f>
        <v>892.44652406417106</v>
      </c>
      <c r="W44" s="358">
        <f t="shared" si="73"/>
        <v>947.13375796178343</v>
      </c>
      <c r="X44" s="358">
        <f t="shared" ref="X44:AA44" si="74">X43/X51</f>
        <v>945.59125085440871</v>
      </c>
      <c r="Y44" s="409">
        <f t="shared" si="74"/>
        <v>992.41245136186774</v>
      </c>
      <c r="Z44" s="357">
        <f t="shared" si="74"/>
        <v>1044.2181340341656</v>
      </c>
      <c r="AA44" s="358">
        <f t="shared" si="74"/>
        <v>1061.2572161642079</v>
      </c>
      <c r="AB44" s="358">
        <f t="shared" ref="AB44:AE44" si="75">AB43/AB51</f>
        <v>999.47214076246325</v>
      </c>
      <c r="AC44" s="409">
        <f t="shared" si="75"/>
        <v>1029.9829642248724</v>
      </c>
      <c r="AD44" s="357">
        <f t="shared" si="75"/>
        <v>1105.9684684684685</v>
      </c>
      <c r="AE44" s="358">
        <f t="shared" si="75"/>
        <v>1091.3183279742766</v>
      </c>
      <c r="AF44" s="358">
        <f t="shared" ref="AF44:AI44" si="76">AF43/AF51</f>
        <v>1061.1619150080689</v>
      </c>
      <c r="AG44" s="409">
        <f t="shared" si="76"/>
        <v>1283.6997319034854</v>
      </c>
      <c r="AH44" s="357">
        <f t="shared" si="76"/>
        <v>1296.288441145281</v>
      </c>
      <c r="AI44" s="358">
        <f t="shared" si="76"/>
        <v>1193.8072159396877</v>
      </c>
      <c r="AJ44" s="358">
        <f t="shared" ref="AJ44:AK44" si="77">AJ43/AJ51</f>
        <v>1292.5946547884187</v>
      </c>
      <c r="AK44" s="409">
        <f t="shared" si="77"/>
        <v>1398.6577181208054</v>
      </c>
      <c r="AL44" s="604"/>
      <c r="AM44" s="634"/>
      <c r="AN44" s="634"/>
      <c r="AO44" s="635"/>
      <c r="AP44" s="604"/>
      <c r="AQ44" s="634"/>
      <c r="AR44" s="634"/>
      <c r="AS44" s="635"/>
    </row>
    <row r="45" spans="1:45" s="208" customFormat="1" ht="15" hidden="1" customHeight="1" x14ac:dyDescent="0.25">
      <c r="A45" s="225"/>
      <c r="B45" s="227" t="s">
        <v>109</v>
      </c>
      <c r="C45" s="211"/>
      <c r="D45" s="253"/>
      <c r="E45" s="352"/>
      <c r="F45" s="226">
        <v>10166</v>
      </c>
      <c r="G45" s="253">
        <v>9485</v>
      </c>
      <c r="H45" s="253">
        <v>10473</v>
      </c>
      <c r="I45" s="218" t="s">
        <v>77</v>
      </c>
      <c r="J45" s="219" t="s">
        <v>77</v>
      </c>
      <c r="K45" s="219" t="s">
        <v>77</v>
      </c>
      <c r="L45" s="219" t="s">
        <v>77</v>
      </c>
      <c r="M45" s="219" t="s">
        <v>77</v>
      </c>
      <c r="N45" s="220" t="s">
        <v>77</v>
      </c>
      <c r="O45" s="219" t="s">
        <v>77</v>
      </c>
      <c r="P45" s="219" t="s">
        <v>77</v>
      </c>
      <c r="Q45" s="219" t="s">
        <v>77</v>
      </c>
      <c r="R45" s="220" t="s">
        <v>77</v>
      </c>
      <c r="S45" s="219" t="s">
        <v>77</v>
      </c>
      <c r="T45" s="219" t="s">
        <v>77</v>
      </c>
      <c r="U45" s="219" t="s">
        <v>77</v>
      </c>
      <c r="V45" s="220" t="s">
        <v>77</v>
      </c>
      <c r="W45" s="219" t="s">
        <v>77</v>
      </c>
      <c r="X45" s="219" t="s">
        <v>77</v>
      </c>
      <c r="Y45" s="218" t="s">
        <v>77</v>
      </c>
      <c r="Z45" s="220" t="s">
        <v>77</v>
      </c>
      <c r="AA45" s="219" t="s">
        <v>77</v>
      </c>
      <c r="AB45" s="219" t="s">
        <v>77</v>
      </c>
      <c r="AC45" s="218" t="s">
        <v>77</v>
      </c>
      <c r="AD45" s="220" t="s">
        <v>77</v>
      </c>
      <c r="AE45" s="219" t="s">
        <v>77</v>
      </c>
      <c r="AF45" s="219" t="s">
        <v>77</v>
      </c>
      <c r="AG45" s="218" t="s">
        <v>77</v>
      </c>
      <c r="AH45" s="220" t="s">
        <v>77</v>
      </c>
      <c r="AI45" s="219" t="s">
        <v>77</v>
      </c>
      <c r="AJ45" s="219" t="s">
        <v>77</v>
      </c>
      <c r="AK45" s="218" t="s">
        <v>77</v>
      </c>
      <c r="AL45" s="605"/>
      <c r="AM45" s="636"/>
      <c r="AN45" s="636"/>
      <c r="AO45" s="637"/>
      <c r="AP45" s="605"/>
      <c r="AQ45" s="636"/>
      <c r="AR45" s="636"/>
      <c r="AS45" s="637"/>
    </row>
    <row r="46" spans="1:45" s="208" customFormat="1" ht="20.25" hidden="1" customHeight="1" x14ac:dyDescent="0.25">
      <c r="A46" s="225"/>
      <c r="B46" s="227" t="s">
        <v>110</v>
      </c>
      <c r="C46" s="211"/>
      <c r="D46" s="253"/>
      <c r="E46" s="352"/>
      <c r="F46" s="226">
        <v>770</v>
      </c>
      <c r="G46" s="253">
        <v>719</v>
      </c>
      <c r="H46" s="253">
        <v>795</v>
      </c>
      <c r="I46" s="218" t="s">
        <v>77</v>
      </c>
      <c r="J46" s="219" t="s">
        <v>77</v>
      </c>
      <c r="K46" s="219" t="s">
        <v>77</v>
      </c>
      <c r="L46" s="219" t="s">
        <v>77</v>
      </c>
      <c r="M46" s="219" t="s">
        <v>77</v>
      </c>
      <c r="N46" s="220" t="s">
        <v>77</v>
      </c>
      <c r="O46" s="219" t="s">
        <v>77</v>
      </c>
      <c r="P46" s="219" t="s">
        <v>77</v>
      </c>
      <c r="Q46" s="219" t="s">
        <v>77</v>
      </c>
      <c r="R46" s="220" t="s">
        <v>77</v>
      </c>
      <c r="S46" s="219" t="s">
        <v>77</v>
      </c>
      <c r="T46" s="219" t="s">
        <v>77</v>
      </c>
      <c r="U46" s="219" t="s">
        <v>77</v>
      </c>
      <c r="V46" s="220" t="s">
        <v>77</v>
      </c>
      <c r="W46" s="219" t="s">
        <v>77</v>
      </c>
      <c r="X46" s="219" t="s">
        <v>77</v>
      </c>
      <c r="Y46" s="218" t="s">
        <v>77</v>
      </c>
      <c r="Z46" s="220" t="s">
        <v>77</v>
      </c>
      <c r="AA46" s="219" t="s">
        <v>77</v>
      </c>
      <c r="AB46" s="219" t="s">
        <v>77</v>
      </c>
      <c r="AC46" s="218" t="s">
        <v>77</v>
      </c>
      <c r="AD46" s="220" t="s">
        <v>77</v>
      </c>
      <c r="AE46" s="219" t="s">
        <v>77</v>
      </c>
      <c r="AF46" s="219" t="s">
        <v>77</v>
      </c>
      <c r="AG46" s="218" t="s">
        <v>77</v>
      </c>
      <c r="AH46" s="220" t="s">
        <v>77</v>
      </c>
      <c r="AI46" s="219" t="s">
        <v>77</v>
      </c>
      <c r="AJ46" s="219" t="s">
        <v>77</v>
      </c>
      <c r="AK46" s="218" t="s">
        <v>77</v>
      </c>
      <c r="AL46" s="605"/>
      <c r="AM46" s="636"/>
      <c r="AN46" s="636"/>
      <c r="AO46" s="637"/>
      <c r="AP46" s="605"/>
      <c r="AQ46" s="636"/>
      <c r="AR46" s="636"/>
      <c r="AS46" s="637"/>
    </row>
    <row r="47" spans="1:45" s="208" customFormat="1" x14ac:dyDescent="0.25">
      <c r="A47" s="225"/>
      <c r="B47" s="227" t="s">
        <v>128</v>
      </c>
      <c r="C47" s="211"/>
      <c r="D47" s="253"/>
      <c r="E47" s="352"/>
      <c r="F47" s="226">
        <v>10443</v>
      </c>
      <c r="G47" s="253">
        <v>10176</v>
      </c>
      <c r="H47" s="253">
        <v>10188</v>
      </c>
      <c r="I47" s="352">
        <v>9933</v>
      </c>
      <c r="J47" s="211">
        <v>10477</v>
      </c>
      <c r="K47" s="242">
        <v>9597</v>
      </c>
      <c r="L47" s="242">
        <v>10131</v>
      </c>
      <c r="M47" s="242">
        <v>8997</v>
      </c>
      <c r="N47" s="211">
        <v>10916</v>
      </c>
      <c r="O47" s="242">
        <v>9715</v>
      </c>
      <c r="P47" s="242">
        <v>10877</v>
      </c>
      <c r="Q47" s="242">
        <v>11713</v>
      </c>
      <c r="R47" s="211">
        <v>12619</v>
      </c>
      <c r="S47" s="242">
        <v>16927</v>
      </c>
      <c r="T47" s="242">
        <v>12805</v>
      </c>
      <c r="U47" s="242">
        <v>13295</v>
      </c>
      <c r="V47" s="211">
        <v>12137</v>
      </c>
      <c r="W47" s="242">
        <v>12093</v>
      </c>
      <c r="X47" s="242">
        <v>12327</v>
      </c>
      <c r="Y47" s="407">
        <v>15437</v>
      </c>
      <c r="Z47" s="211">
        <v>14863</v>
      </c>
      <c r="AA47" s="242">
        <v>14904</v>
      </c>
      <c r="AB47" s="242">
        <v>15399</v>
      </c>
      <c r="AC47" s="407">
        <v>16819</v>
      </c>
      <c r="AD47" s="211">
        <v>17311</v>
      </c>
      <c r="AE47" s="242">
        <v>18403</v>
      </c>
      <c r="AF47" s="242">
        <v>18550</v>
      </c>
      <c r="AG47" s="407">
        <v>22562</v>
      </c>
      <c r="AH47" s="211">
        <v>21848</v>
      </c>
      <c r="AI47" s="242">
        <v>20022</v>
      </c>
      <c r="AJ47" s="242">
        <v>20518</v>
      </c>
      <c r="AK47" s="407">
        <v>24993</v>
      </c>
      <c r="AL47" s="595"/>
      <c r="AM47" s="596"/>
      <c r="AN47" s="596"/>
      <c r="AO47" s="622"/>
      <c r="AP47" s="595"/>
      <c r="AQ47" s="596"/>
      <c r="AR47" s="596"/>
      <c r="AS47" s="622"/>
    </row>
    <row r="48" spans="1:45" s="208" customFormat="1" x14ac:dyDescent="0.25">
      <c r="A48" s="225"/>
      <c r="B48" s="227" t="s">
        <v>129</v>
      </c>
      <c r="C48" s="213"/>
      <c r="E48" s="227"/>
      <c r="F48" s="225">
        <v>791</v>
      </c>
      <c r="G48" s="208">
        <v>771</v>
      </c>
      <c r="H48" s="208">
        <v>773</v>
      </c>
      <c r="I48" s="227">
        <v>729</v>
      </c>
      <c r="J48" s="288">
        <v>876</v>
      </c>
      <c r="K48" s="243">
        <v>758</v>
      </c>
      <c r="L48" s="243">
        <v>721</v>
      </c>
      <c r="M48" s="359">
        <f t="shared" ref="M48:R48" si="78">M47/M51</f>
        <v>628.7211740041929</v>
      </c>
      <c r="N48" s="360">
        <f t="shared" si="78"/>
        <v>779.15774446823696</v>
      </c>
      <c r="O48" s="359">
        <f t="shared" si="78"/>
        <v>675.12161223071575</v>
      </c>
      <c r="P48" s="359">
        <f t="shared" si="78"/>
        <v>741.44512610770278</v>
      </c>
      <c r="Q48" s="359">
        <f t="shared" si="78"/>
        <v>795.72010869565213</v>
      </c>
      <c r="R48" s="360">
        <f t="shared" si="78"/>
        <v>820.48114434330296</v>
      </c>
      <c r="S48" s="359">
        <f t="shared" ref="S48:T48" si="79">S47/S51</f>
        <v>943.00835654596108</v>
      </c>
      <c r="T48" s="359">
        <f t="shared" si="79"/>
        <v>757.24423418095796</v>
      </c>
      <c r="U48" s="359">
        <f t="shared" ref="U48:W48" si="80">U47/U51</f>
        <v>851.69762972453555</v>
      </c>
      <c r="V48" s="360">
        <f t="shared" si="80"/>
        <v>811.29679144385022</v>
      </c>
      <c r="W48" s="359">
        <f t="shared" si="80"/>
        <v>855.83864118895963</v>
      </c>
      <c r="X48" s="359">
        <f t="shared" ref="X48:AA48" si="81">X47/X51</f>
        <v>842.58373205741623</v>
      </c>
      <c r="Y48" s="448">
        <f t="shared" si="81"/>
        <v>1001.1024643320363</v>
      </c>
      <c r="Z48" s="360">
        <f t="shared" si="81"/>
        <v>976.54402102496715</v>
      </c>
      <c r="AA48" s="359">
        <f t="shared" si="81"/>
        <v>955.99743425272607</v>
      </c>
      <c r="AB48" s="359">
        <f t="shared" ref="AB48:AE48" si="82">AB47/AB51</f>
        <v>903.1671554252199</v>
      </c>
      <c r="AC48" s="448">
        <f t="shared" si="82"/>
        <v>955.08233957978427</v>
      </c>
      <c r="AD48" s="360">
        <f t="shared" si="82"/>
        <v>974.71846846846836</v>
      </c>
      <c r="AE48" s="359">
        <f t="shared" si="82"/>
        <v>986.22722400857447</v>
      </c>
      <c r="AF48" s="359">
        <f t="shared" ref="AF48:AI48" si="83">AF47/AF51</f>
        <v>997.8483055406133</v>
      </c>
      <c r="AG48" s="448">
        <f t="shared" si="83"/>
        <v>1209.7587131367293</v>
      </c>
      <c r="AH48" s="211">
        <f t="shared" si="83"/>
        <v>1158.4305408271475</v>
      </c>
      <c r="AI48" s="358">
        <f t="shared" si="83"/>
        <v>1078.1906300484652</v>
      </c>
      <c r="AJ48" s="358">
        <f t="shared" ref="AJ48:AK48" si="84">AJ47/AJ51</f>
        <v>1142.4276169265033</v>
      </c>
      <c r="AK48" s="448">
        <f t="shared" si="84"/>
        <v>1397.8187919463087</v>
      </c>
      <c r="AL48" s="595"/>
      <c r="AM48" s="634"/>
      <c r="AN48" s="634"/>
      <c r="AO48" s="638"/>
      <c r="AP48" s="595"/>
      <c r="AQ48" s="634"/>
      <c r="AR48" s="634"/>
      <c r="AS48" s="638"/>
    </row>
    <row r="49" spans="1:59" s="208" customFormat="1" x14ac:dyDescent="0.25">
      <c r="A49" s="225"/>
      <c r="B49" s="227" t="s">
        <v>136</v>
      </c>
      <c r="C49" s="213"/>
      <c r="E49" s="227"/>
      <c r="F49" s="225"/>
      <c r="I49" s="227"/>
      <c r="J49" s="211">
        <v>10477</v>
      </c>
      <c r="K49" s="242">
        <v>9597</v>
      </c>
      <c r="L49" s="242">
        <v>10131</v>
      </c>
      <c r="M49" s="242">
        <v>8997</v>
      </c>
      <c r="N49" s="211">
        <v>10916</v>
      </c>
      <c r="O49" s="242">
        <v>9715</v>
      </c>
      <c r="P49" s="242">
        <v>10877</v>
      </c>
      <c r="Q49" s="242">
        <v>11713</v>
      </c>
      <c r="R49" s="211">
        <v>12619</v>
      </c>
      <c r="S49" s="242">
        <v>16927</v>
      </c>
      <c r="T49" s="242">
        <v>12805</v>
      </c>
      <c r="U49" s="242">
        <v>13295</v>
      </c>
      <c r="V49" s="211">
        <v>12137</v>
      </c>
      <c r="W49" s="242">
        <v>12093</v>
      </c>
      <c r="X49" s="242">
        <v>12327</v>
      </c>
      <c r="Y49" s="407">
        <v>15437</v>
      </c>
      <c r="Z49" s="211">
        <v>14863</v>
      </c>
      <c r="AA49" s="242">
        <v>14904</v>
      </c>
      <c r="AB49" s="242">
        <v>15399</v>
      </c>
      <c r="AC49" s="407">
        <v>16819</v>
      </c>
      <c r="AD49" s="211">
        <v>17336</v>
      </c>
      <c r="AE49" s="242">
        <v>18805</v>
      </c>
      <c r="AF49" s="242">
        <v>18550</v>
      </c>
      <c r="AG49" s="407">
        <v>22599</v>
      </c>
      <c r="AH49" s="211">
        <v>21848</v>
      </c>
      <c r="AI49" s="242">
        <v>20022</v>
      </c>
      <c r="AJ49" s="242">
        <v>20518</v>
      </c>
      <c r="AK49" s="407">
        <v>24993</v>
      </c>
      <c r="AL49" s="595"/>
      <c r="AM49" s="596"/>
      <c r="AN49" s="596"/>
      <c r="AO49" s="622"/>
      <c r="AP49" s="595"/>
      <c r="AQ49" s="596"/>
      <c r="AR49" s="596"/>
      <c r="AS49" s="622"/>
    </row>
    <row r="50" spans="1:59" s="208" customFormat="1" x14ac:dyDescent="0.25">
      <c r="A50" s="225"/>
      <c r="B50" s="227" t="s">
        <v>137</v>
      </c>
      <c r="C50" s="213"/>
      <c r="E50" s="227"/>
      <c r="F50" s="225"/>
      <c r="I50" s="227"/>
      <c r="J50" s="360">
        <f>+J49/(J51)</f>
        <v>876.00334448160527</v>
      </c>
      <c r="K50" s="359">
        <f>+K49/(K51)-1</f>
        <v>757.65612648221338</v>
      </c>
      <c r="L50" s="243">
        <v>721</v>
      </c>
      <c r="M50" s="359">
        <f t="shared" ref="M50:R50" si="85">M49/M51</f>
        <v>628.7211740041929</v>
      </c>
      <c r="N50" s="360">
        <f t="shared" si="85"/>
        <v>779.15774446823696</v>
      </c>
      <c r="O50" s="359">
        <f t="shared" si="85"/>
        <v>675.12161223071575</v>
      </c>
      <c r="P50" s="359">
        <f t="shared" si="85"/>
        <v>741.44512610770278</v>
      </c>
      <c r="Q50" s="359">
        <f t="shared" si="85"/>
        <v>795.72010869565213</v>
      </c>
      <c r="R50" s="360">
        <f t="shared" si="85"/>
        <v>820.48114434330296</v>
      </c>
      <c r="S50" s="359">
        <f t="shared" ref="S50:T50" si="86">S49/S51</f>
        <v>943.00835654596108</v>
      </c>
      <c r="T50" s="359">
        <f t="shared" si="86"/>
        <v>757.24423418095796</v>
      </c>
      <c r="U50" s="359">
        <f t="shared" ref="U50:W50" si="87">U49/U51</f>
        <v>851.69762972453555</v>
      </c>
      <c r="V50" s="360">
        <f t="shared" si="87"/>
        <v>811.29679144385022</v>
      </c>
      <c r="W50" s="359">
        <f t="shared" si="87"/>
        <v>855.83864118895963</v>
      </c>
      <c r="X50" s="359">
        <f t="shared" ref="X50:AA50" si="88">X49/X51</f>
        <v>842.58373205741623</v>
      </c>
      <c r="Y50" s="448">
        <f t="shared" si="88"/>
        <v>1001.1024643320363</v>
      </c>
      <c r="Z50" s="360">
        <f t="shared" si="88"/>
        <v>976.54402102496715</v>
      </c>
      <c r="AA50" s="359">
        <f t="shared" si="88"/>
        <v>955.99743425272607</v>
      </c>
      <c r="AB50" s="359">
        <f t="shared" ref="AB50:AE50" si="89">AB49/AB51</f>
        <v>903.1671554252199</v>
      </c>
      <c r="AC50" s="448">
        <f t="shared" si="89"/>
        <v>955.08233957978427</v>
      </c>
      <c r="AD50" s="360">
        <f t="shared" si="89"/>
        <v>976.126126126126</v>
      </c>
      <c r="AE50" s="358">
        <f t="shared" si="89"/>
        <v>1007.7706323687031</v>
      </c>
      <c r="AF50" s="359">
        <f t="shared" ref="AF50:AI50" si="90">AF49/AF51</f>
        <v>997.8483055406133</v>
      </c>
      <c r="AG50" s="448">
        <f t="shared" si="90"/>
        <v>1211.7426273458445</v>
      </c>
      <c r="AH50" s="211">
        <f t="shared" si="90"/>
        <v>1158.4305408271475</v>
      </c>
      <c r="AI50" s="358">
        <f t="shared" si="90"/>
        <v>1078.1906300484652</v>
      </c>
      <c r="AJ50" s="358">
        <f t="shared" ref="AJ50:AK50" si="91">AJ49/AJ51</f>
        <v>1142.4276169265033</v>
      </c>
      <c r="AK50" s="448">
        <f t="shared" si="91"/>
        <v>1397.8187919463087</v>
      </c>
      <c r="AL50" s="595"/>
      <c r="AM50" s="634"/>
      <c r="AN50" s="634"/>
      <c r="AO50" s="638"/>
      <c r="AP50" s="595"/>
      <c r="AQ50" s="634"/>
      <c r="AR50" s="634"/>
      <c r="AS50" s="638"/>
    </row>
    <row r="51" spans="1:59" s="208" customFormat="1" x14ac:dyDescent="0.25">
      <c r="A51" s="225"/>
      <c r="B51" s="227" t="s">
        <v>83</v>
      </c>
      <c r="C51" s="213"/>
      <c r="E51" s="227"/>
      <c r="F51" s="225"/>
      <c r="I51" s="227"/>
      <c r="J51" s="288">
        <v>11.96</v>
      </c>
      <c r="K51" s="243">
        <v>12.65</v>
      </c>
      <c r="L51" s="243">
        <v>14.05</v>
      </c>
      <c r="M51" s="243">
        <v>14.31</v>
      </c>
      <c r="N51" s="288">
        <v>14.01</v>
      </c>
      <c r="O51" s="243">
        <v>14.39</v>
      </c>
      <c r="P51" s="243">
        <v>14.67</v>
      </c>
      <c r="Q51" s="243">
        <v>14.72</v>
      </c>
      <c r="R51" s="288">
        <v>15.38</v>
      </c>
      <c r="S51" s="243">
        <v>17.95</v>
      </c>
      <c r="T51" s="243">
        <v>16.91</v>
      </c>
      <c r="U51" s="243">
        <v>15.61</v>
      </c>
      <c r="V51" s="288">
        <v>14.96</v>
      </c>
      <c r="W51" s="243">
        <v>14.13</v>
      </c>
      <c r="X51" s="243">
        <v>14.63</v>
      </c>
      <c r="Y51" s="326">
        <v>15.42</v>
      </c>
      <c r="Z51" s="288">
        <v>15.22</v>
      </c>
      <c r="AA51" s="243">
        <v>15.59</v>
      </c>
      <c r="AB51" s="243">
        <v>17.05</v>
      </c>
      <c r="AC51" s="326">
        <v>17.61</v>
      </c>
      <c r="AD51" s="288">
        <v>17.760000000000002</v>
      </c>
      <c r="AE51" s="243">
        <v>18.66</v>
      </c>
      <c r="AF51" s="297">
        <v>18.59</v>
      </c>
      <c r="AG51" s="326">
        <v>18.649999999999999</v>
      </c>
      <c r="AH51" s="288">
        <v>18.86</v>
      </c>
      <c r="AI51" s="297">
        <v>18.57</v>
      </c>
      <c r="AJ51" s="297">
        <v>17.96</v>
      </c>
      <c r="AK51" s="326">
        <v>17.88</v>
      </c>
      <c r="AL51" s="591"/>
      <c r="AM51" s="639"/>
      <c r="AN51" s="639"/>
      <c r="AO51" s="615"/>
      <c r="AP51" s="591"/>
      <c r="AQ51" s="639"/>
      <c r="AR51" s="639"/>
      <c r="AS51" s="615"/>
    </row>
    <row r="52" spans="1:59" s="208" customFormat="1" x14ac:dyDescent="0.25">
      <c r="A52" s="307"/>
      <c r="B52" s="305"/>
      <c r="C52" s="361"/>
      <c r="D52" s="313"/>
      <c r="E52" s="305"/>
      <c r="F52" s="307"/>
      <c r="G52" s="313"/>
      <c r="H52" s="313"/>
      <c r="I52" s="305"/>
      <c r="J52" s="307"/>
      <c r="K52" s="313"/>
      <c r="L52" s="313"/>
      <c r="M52" s="313"/>
      <c r="N52" s="307"/>
      <c r="O52" s="313"/>
      <c r="P52" s="313"/>
      <c r="Q52" s="313"/>
      <c r="R52" s="307"/>
      <c r="S52" s="313"/>
      <c r="T52" s="313"/>
      <c r="U52" s="313"/>
      <c r="V52" s="307"/>
      <c r="W52" s="313"/>
      <c r="X52" s="313"/>
      <c r="Y52" s="305"/>
      <c r="Z52" s="307"/>
      <c r="AA52" s="313"/>
      <c r="AB52" s="313"/>
      <c r="AC52" s="305"/>
      <c r="AD52" s="307"/>
      <c r="AE52" s="313"/>
      <c r="AF52" s="313"/>
      <c r="AG52" s="305"/>
      <c r="AH52" s="307"/>
      <c r="AI52" s="313"/>
      <c r="AJ52" s="313"/>
      <c r="AK52" s="305"/>
      <c r="AL52" s="607"/>
      <c r="AM52" s="640"/>
      <c r="AN52" s="640"/>
      <c r="AO52" s="641"/>
      <c r="AP52" s="607"/>
      <c r="AQ52" s="640"/>
      <c r="AR52" s="640"/>
      <c r="AS52" s="641"/>
    </row>
    <row r="53" spans="1:59" ht="21" x14ac:dyDescent="0.35">
      <c r="A53" s="160"/>
      <c r="B53" s="212" t="s">
        <v>160</v>
      </c>
      <c r="C53" s="2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8"/>
      <c r="S53" s="136"/>
      <c r="T53" s="136"/>
      <c r="U53" s="136"/>
      <c r="V53" s="138"/>
      <c r="W53" s="136"/>
      <c r="X53" s="136"/>
      <c r="Y53" s="137"/>
      <c r="Z53" s="138"/>
      <c r="AA53" s="136"/>
      <c r="AB53" s="136"/>
      <c r="AC53" s="137"/>
      <c r="AD53" s="138"/>
      <c r="AE53" s="136"/>
      <c r="AF53" s="136"/>
      <c r="AG53" s="137"/>
      <c r="AH53" s="138"/>
      <c r="AI53" s="136"/>
      <c r="AJ53" s="136"/>
      <c r="AK53" s="137"/>
      <c r="AL53" s="138"/>
      <c r="AM53" s="136"/>
      <c r="AN53" s="136"/>
      <c r="AO53" s="137"/>
      <c r="AP53" s="138"/>
      <c r="AQ53" s="136"/>
      <c r="AR53" s="136"/>
      <c r="AS53" s="137"/>
    </row>
    <row r="54" spans="1:59" s="208" customFormat="1" ht="18.75" x14ac:dyDescent="0.3">
      <c r="A54" s="225"/>
      <c r="B54" s="327"/>
      <c r="C54" s="213"/>
      <c r="E54" s="227"/>
      <c r="F54" s="225"/>
      <c r="I54" s="227"/>
      <c r="J54" s="225"/>
      <c r="N54" s="225"/>
      <c r="R54" s="225"/>
      <c r="V54" s="225"/>
      <c r="Y54" s="227"/>
      <c r="Z54" s="225"/>
      <c r="AC54" s="227"/>
      <c r="AD54" s="225"/>
      <c r="AG54" s="227"/>
      <c r="AH54" s="225"/>
      <c r="AK54" s="227"/>
      <c r="AL54" s="225"/>
      <c r="AO54" s="227"/>
      <c r="AP54" s="225"/>
      <c r="AS54" s="227"/>
    </row>
    <row r="55" spans="1:59" s="208" customFormat="1" x14ac:dyDescent="0.25">
      <c r="A55" s="225"/>
      <c r="B55" s="292" t="s">
        <v>123</v>
      </c>
      <c r="C55" s="213"/>
      <c r="E55" s="227"/>
      <c r="F55" s="225"/>
      <c r="I55" s="227"/>
      <c r="J55" s="225"/>
      <c r="N55" s="225"/>
      <c r="R55" s="225"/>
      <c r="V55" s="225"/>
      <c r="Y55" s="227"/>
      <c r="Z55" s="225"/>
      <c r="AC55" s="227"/>
      <c r="AD55" s="225"/>
      <c r="AG55" s="227"/>
      <c r="AH55" s="225"/>
      <c r="AK55" s="227"/>
      <c r="AL55" s="225"/>
      <c r="AO55" s="227"/>
      <c r="AP55" s="225"/>
      <c r="AS55" s="227"/>
    </row>
    <row r="56" spans="1:59" s="208" customFormat="1" x14ac:dyDescent="0.25">
      <c r="A56" s="225"/>
      <c r="B56" s="227" t="s">
        <v>52</v>
      </c>
      <c r="C56" s="213">
        <v>327</v>
      </c>
      <c r="D56" s="208">
        <v>345</v>
      </c>
      <c r="E56" s="227">
        <v>340</v>
      </c>
      <c r="F56" s="225">
        <v>335</v>
      </c>
      <c r="G56" s="208">
        <v>346</v>
      </c>
      <c r="H56" s="208">
        <v>359</v>
      </c>
      <c r="I56" s="227">
        <v>345</v>
      </c>
      <c r="J56" s="360">
        <f>675/2</f>
        <v>337.5</v>
      </c>
      <c r="K56" s="243">
        <v>361</v>
      </c>
      <c r="L56" s="243">
        <v>351</v>
      </c>
      <c r="M56" s="243">
        <v>353</v>
      </c>
      <c r="N56" s="288">
        <v>339</v>
      </c>
      <c r="O56" s="359">
        <f>729/2</f>
        <v>364.5</v>
      </c>
      <c r="P56" s="243">
        <v>295</v>
      </c>
      <c r="Q56" s="243">
        <v>358</v>
      </c>
      <c r="R56" s="288">
        <v>342</v>
      </c>
      <c r="S56" s="359">
        <v>356</v>
      </c>
      <c r="T56" s="359">
        <v>362</v>
      </c>
      <c r="U56" s="359">
        <v>354</v>
      </c>
      <c r="V56" s="360">
        <v>348</v>
      </c>
      <c r="W56" s="359">
        <v>366</v>
      </c>
      <c r="X56" s="359">
        <v>352</v>
      </c>
      <c r="Y56" s="454">
        <v>356</v>
      </c>
      <c r="Z56" s="360">
        <v>340</v>
      </c>
      <c r="AA56" s="359">
        <v>360</v>
      </c>
      <c r="AB56" s="359">
        <v>340</v>
      </c>
      <c r="AC56" s="454">
        <v>347</v>
      </c>
      <c r="AD56" s="360">
        <v>326</v>
      </c>
      <c r="AE56" s="359">
        <v>354</v>
      </c>
      <c r="AF56" s="359">
        <v>351</v>
      </c>
      <c r="AG56" s="454">
        <v>361</v>
      </c>
      <c r="AH56" s="360">
        <v>358</v>
      </c>
      <c r="AI56" s="359">
        <v>378</v>
      </c>
      <c r="AJ56" s="359">
        <v>375</v>
      </c>
      <c r="AK56" s="454">
        <v>359</v>
      </c>
      <c r="AL56" s="360">
        <v>347</v>
      </c>
      <c r="AM56" s="359">
        <v>375</v>
      </c>
      <c r="AN56" s="359">
        <v>370</v>
      </c>
      <c r="AO56" s="454">
        <v>364</v>
      </c>
      <c r="AP56" s="360">
        <v>343.82100000000003</v>
      </c>
      <c r="AQ56" s="359">
        <v>357</v>
      </c>
      <c r="AR56" s="359"/>
      <c r="AS56" s="454"/>
    </row>
    <row r="57" spans="1:59" s="208" customFormat="1" x14ac:dyDescent="0.25">
      <c r="A57" s="225"/>
      <c r="B57" s="227" t="s">
        <v>53</v>
      </c>
      <c r="C57" s="213">
        <v>0</v>
      </c>
      <c r="D57" s="208">
        <v>0</v>
      </c>
      <c r="E57" s="227">
        <v>0</v>
      </c>
      <c r="F57" s="225">
        <v>0</v>
      </c>
      <c r="G57" s="208">
        <v>0</v>
      </c>
      <c r="H57" s="208">
        <v>0</v>
      </c>
      <c r="I57" s="227">
        <v>0</v>
      </c>
      <c r="J57" s="288"/>
      <c r="K57" s="243"/>
      <c r="L57" s="243"/>
      <c r="M57" s="243"/>
      <c r="N57" s="288"/>
      <c r="O57" s="243"/>
      <c r="P57" s="243"/>
      <c r="Q57" s="243"/>
      <c r="R57" s="288"/>
      <c r="S57" s="243"/>
      <c r="T57" s="243"/>
      <c r="U57" s="243"/>
      <c r="V57" s="288"/>
      <c r="W57" s="243"/>
      <c r="X57" s="243"/>
      <c r="Y57" s="326"/>
      <c r="Z57" s="288"/>
      <c r="AA57" s="243"/>
      <c r="AB57" s="243"/>
      <c r="AC57" s="326"/>
      <c r="AD57" s="288"/>
      <c r="AE57" s="243"/>
      <c r="AF57" s="243"/>
      <c r="AG57" s="326"/>
      <c r="AH57" s="288"/>
      <c r="AI57" s="243"/>
      <c r="AJ57" s="243"/>
      <c r="AK57" s="326"/>
      <c r="AL57" s="288"/>
      <c r="AM57" s="243"/>
      <c r="AN57" s="243"/>
      <c r="AO57" s="326"/>
      <c r="AP57" s="288"/>
      <c r="AQ57" s="243"/>
      <c r="AR57" s="243"/>
      <c r="AS57" s="326"/>
    </row>
    <row r="58" spans="1:59" s="1" customFormat="1" x14ac:dyDescent="0.25">
      <c r="A58" s="306"/>
      <c r="B58" s="290" t="s">
        <v>54</v>
      </c>
      <c r="C58" s="139">
        <f t="shared" ref="C58:I58" si="92">+C57+C56</f>
        <v>327</v>
      </c>
      <c r="D58" s="140">
        <f t="shared" si="92"/>
        <v>345</v>
      </c>
      <c r="E58" s="141">
        <f t="shared" si="92"/>
        <v>340</v>
      </c>
      <c r="F58" s="139">
        <f t="shared" si="92"/>
        <v>335</v>
      </c>
      <c r="G58" s="140">
        <f t="shared" si="92"/>
        <v>346</v>
      </c>
      <c r="H58" s="140">
        <f t="shared" si="92"/>
        <v>359</v>
      </c>
      <c r="I58" s="141">
        <f t="shared" si="92"/>
        <v>345</v>
      </c>
      <c r="J58" s="139">
        <f t="shared" ref="J58:Q58" si="93">+J57+J56</f>
        <v>337.5</v>
      </c>
      <c r="K58" s="140">
        <f t="shared" si="93"/>
        <v>361</v>
      </c>
      <c r="L58" s="140">
        <f t="shared" si="93"/>
        <v>351</v>
      </c>
      <c r="M58" s="140">
        <f t="shared" si="93"/>
        <v>353</v>
      </c>
      <c r="N58" s="139">
        <f t="shared" si="93"/>
        <v>339</v>
      </c>
      <c r="O58" s="140">
        <f t="shared" si="93"/>
        <v>364.5</v>
      </c>
      <c r="P58" s="140">
        <f t="shared" si="93"/>
        <v>295</v>
      </c>
      <c r="Q58" s="140">
        <f t="shared" si="93"/>
        <v>358</v>
      </c>
      <c r="R58" s="139">
        <f t="shared" ref="R58:S58" si="94">+R57+R56</f>
        <v>342</v>
      </c>
      <c r="S58" s="140">
        <f t="shared" si="94"/>
        <v>356</v>
      </c>
      <c r="T58" s="140">
        <f t="shared" ref="T58:U58" si="95">+T57+T56</f>
        <v>362</v>
      </c>
      <c r="U58" s="140">
        <f t="shared" si="95"/>
        <v>354</v>
      </c>
      <c r="V58" s="139">
        <f t="shared" ref="V58:W58" si="96">+V57+V56</f>
        <v>348</v>
      </c>
      <c r="W58" s="140">
        <f t="shared" si="96"/>
        <v>366</v>
      </c>
      <c r="X58" s="140">
        <f t="shared" ref="X58:AA58" si="97">+X57+X56</f>
        <v>352</v>
      </c>
      <c r="Y58" s="141">
        <f t="shared" si="97"/>
        <v>356</v>
      </c>
      <c r="Z58" s="139">
        <f t="shared" si="97"/>
        <v>340</v>
      </c>
      <c r="AA58" s="140">
        <f t="shared" si="97"/>
        <v>360</v>
      </c>
      <c r="AB58" s="140">
        <f t="shared" ref="AB58:AE58" si="98">+AB57+AB56</f>
        <v>340</v>
      </c>
      <c r="AC58" s="141">
        <f t="shared" si="98"/>
        <v>347</v>
      </c>
      <c r="AD58" s="139">
        <f t="shared" si="98"/>
        <v>326</v>
      </c>
      <c r="AE58" s="140">
        <f t="shared" si="98"/>
        <v>354</v>
      </c>
      <c r="AF58" s="140">
        <f t="shared" ref="AF58:AI58" si="99">+AF57+AF56</f>
        <v>351</v>
      </c>
      <c r="AG58" s="141">
        <f t="shared" si="99"/>
        <v>361</v>
      </c>
      <c r="AH58" s="139">
        <f t="shared" si="99"/>
        <v>358</v>
      </c>
      <c r="AI58" s="140">
        <f t="shared" si="99"/>
        <v>378</v>
      </c>
      <c r="AJ58" s="140">
        <f t="shared" ref="AJ58:AO58" si="100">+AJ57+AJ56</f>
        <v>375</v>
      </c>
      <c r="AK58" s="141">
        <f t="shared" si="100"/>
        <v>359</v>
      </c>
      <c r="AL58" s="139">
        <f t="shared" si="100"/>
        <v>347</v>
      </c>
      <c r="AM58" s="140">
        <f t="shared" si="100"/>
        <v>375</v>
      </c>
      <c r="AN58" s="140">
        <f t="shared" si="100"/>
        <v>370</v>
      </c>
      <c r="AO58" s="141">
        <f t="shared" si="100"/>
        <v>364</v>
      </c>
      <c r="AP58" s="139">
        <f t="shared" ref="AP58:AS58" si="101">+AP57+AP56</f>
        <v>343.82100000000003</v>
      </c>
      <c r="AQ58" s="140">
        <f t="shared" si="101"/>
        <v>357</v>
      </c>
      <c r="AR58" s="140">
        <f t="shared" si="101"/>
        <v>0</v>
      </c>
      <c r="AS58" s="141">
        <f t="shared" si="101"/>
        <v>0</v>
      </c>
      <c r="AT58" s="347"/>
      <c r="AU58" s="347"/>
      <c r="AV58" s="347"/>
      <c r="AW58" s="347"/>
      <c r="AX58" s="347"/>
      <c r="AY58" s="347"/>
      <c r="AZ58" s="347"/>
      <c r="BA58" s="347"/>
      <c r="BB58" s="347"/>
      <c r="BC58" s="347"/>
      <c r="BD58" s="347"/>
      <c r="BE58" s="347"/>
      <c r="BF58" s="347"/>
      <c r="BG58" s="347"/>
    </row>
    <row r="59" spans="1:59" s="208" customFormat="1" x14ac:dyDescent="0.25">
      <c r="A59" s="225"/>
      <c r="B59" s="292" t="s">
        <v>104</v>
      </c>
      <c r="C59" s="213"/>
      <c r="E59" s="227"/>
      <c r="F59" s="225"/>
      <c r="I59" s="227"/>
      <c r="J59" s="288"/>
      <c r="K59" s="243"/>
      <c r="L59" s="243"/>
      <c r="M59" s="243"/>
      <c r="N59" s="288"/>
      <c r="O59" s="243"/>
      <c r="P59" s="243"/>
      <c r="Q59" s="243"/>
      <c r="R59" s="288"/>
      <c r="S59" s="243"/>
      <c r="T59" s="243"/>
      <c r="U59" s="243"/>
      <c r="V59" s="288"/>
      <c r="W59" s="243"/>
      <c r="X59" s="243"/>
      <c r="Y59" s="326"/>
      <c r="Z59" s="288"/>
      <c r="AA59" s="243"/>
      <c r="AB59" s="243"/>
      <c r="AC59" s="326"/>
      <c r="AD59" s="288"/>
      <c r="AE59" s="243"/>
      <c r="AF59" s="243"/>
      <c r="AG59" s="326"/>
      <c r="AH59" s="288"/>
      <c r="AI59" s="243"/>
      <c r="AJ59" s="243"/>
      <c r="AK59" s="326"/>
      <c r="AL59" s="288"/>
      <c r="AM59" s="243"/>
      <c r="AN59" s="243"/>
      <c r="AO59" s="326"/>
      <c r="AP59" s="288"/>
      <c r="AQ59" s="243"/>
      <c r="AR59" s="243"/>
      <c r="AS59" s="326"/>
    </row>
    <row r="60" spans="1:59" s="208" customFormat="1" x14ac:dyDescent="0.25">
      <c r="A60" s="225"/>
      <c r="B60" s="227" t="s">
        <v>52</v>
      </c>
      <c r="C60" s="301">
        <v>3.57</v>
      </c>
      <c r="D60" s="208">
        <v>3.53</v>
      </c>
      <c r="E60" s="227">
        <v>3.61</v>
      </c>
      <c r="F60" s="225">
        <v>3.58</v>
      </c>
      <c r="G60" s="208">
        <v>3.58</v>
      </c>
      <c r="H60" s="208">
        <v>3.58</v>
      </c>
      <c r="I60" s="227">
        <v>3.58</v>
      </c>
      <c r="J60" s="288">
        <v>3.56</v>
      </c>
      <c r="K60" s="243">
        <v>3.57</v>
      </c>
      <c r="L60" s="243">
        <v>3.54</v>
      </c>
      <c r="M60" s="243">
        <v>3.59</v>
      </c>
      <c r="N60" s="288">
        <v>3.56</v>
      </c>
      <c r="O60" s="243">
        <v>3.59</v>
      </c>
      <c r="P60" s="243">
        <v>3.59</v>
      </c>
      <c r="Q60" s="278">
        <v>3.57</v>
      </c>
      <c r="R60" s="351">
        <v>3.58</v>
      </c>
      <c r="S60" s="243">
        <v>3.59</v>
      </c>
      <c r="T60" s="245">
        <v>3.6</v>
      </c>
      <c r="U60" s="245">
        <v>3.62</v>
      </c>
      <c r="V60" s="317">
        <v>3.6</v>
      </c>
      <c r="W60" s="243">
        <v>3.58</v>
      </c>
      <c r="X60" s="243">
        <v>3.58</v>
      </c>
      <c r="Y60" s="326">
        <v>3.57</v>
      </c>
      <c r="Z60" s="317">
        <v>3.57</v>
      </c>
      <c r="AA60" s="243">
        <v>3.49</v>
      </c>
      <c r="AB60" s="243">
        <v>3.52</v>
      </c>
      <c r="AC60" s="326">
        <v>3.53</v>
      </c>
      <c r="AD60" s="317">
        <v>3.53</v>
      </c>
      <c r="AE60" s="243">
        <v>3.47</v>
      </c>
      <c r="AF60" s="243">
        <v>3.36</v>
      </c>
      <c r="AG60" s="326">
        <v>3.39</v>
      </c>
      <c r="AH60" s="317">
        <v>3.42</v>
      </c>
      <c r="AI60" s="243">
        <v>3.38</v>
      </c>
      <c r="AJ60" s="243">
        <v>3.39</v>
      </c>
      <c r="AK60" s="326">
        <v>3.39</v>
      </c>
      <c r="AL60" s="317">
        <v>3.39</v>
      </c>
      <c r="AM60" s="243">
        <v>3.39</v>
      </c>
      <c r="AN60" s="243">
        <v>3.39</v>
      </c>
      <c r="AO60" s="326">
        <v>3.36</v>
      </c>
      <c r="AP60" s="317">
        <v>3.34</v>
      </c>
      <c r="AQ60" s="243">
        <v>3.22</v>
      </c>
      <c r="AR60" s="243"/>
      <c r="AS60" s="326"/>
    </row>
    <row r="61" spans="1:59" s="208" customFormat="1" x14ac:dyDescent="0.25">
      <c r="A61" s="225"/>
      <c r="B61" s="227" t="s">
        <v>53</v>
      </c>
      <c r="C61" s="301">
        <v>0</v>
      </c>
      <c r="D61" s="208">
        <v>0</v>
      </c>
      <c r="E61" s="227">
        <v>0</v>
      </c>
      <c r="F61" s="225">
        <v>0</v>
      </c>
      <c r="G61" s="208">
        <v>0</v>
      </c>
      <c r="H61" s="208">
        <v>0</v>
      </c>
      <c r="I61" s="227">
        <v>0</v>
      </c>
      <c r="J61" s="288"/>
      <c r="K61" s="243"/>
      <c r="L61" s="243"/>
      <c r="M61" s="243"/>
      <c r="N61" s="288"/>
      <c r="O61" s="243"/>
      <c r="P61" s="243"/>
      <c r="Q61" s="243"/>
      <c r="R61" s="288"/>
      <c r="S61" s="243"/>
      <c r="T61" s="243"/>
      <c r="U61" s="243"/>
      <c r="V61" s="288"/>
      <c r="W61" s="243"/>
      <c r="X61" s="243"/>
      <c r="Y61" s="326"/>
      <c r="Z61" s="288"/>
      <c r="AA61" s="243"/>
      <c r="AB61" s="243"/>
      <c r="AC61" s="326"/>
      <c r="AD61" s="288"/>
      <c r="AE61" s="243"/>
      <c r="AF61" s="243"/>
      <c r="AG61" s="326"/>
      <c r="AH61" s="288"/>
      <c r="AI61" s="243"/>
      <c r="AJ61" s="243"/>
      <c r="AK61" s="326"/>
      <c r="AL61" s="288"/>
      <c r="AM61" s="243"/>
      <c r="AN61" s="243"/>
      <c r="AO61" s="326"/>
      <c r="AP61" s="288"/>
      <c r="AQ61" s="243"/>
      <c r="AR61" s="243"/>
      <c r="AS61" s="326"/>
    </row>
    <row r="62" spans="1:59" s="1" customFormat="1" x14ac:dyDescent="0.25">
      <c r="A62" s="306"/>
      <c r="B62" s="290" t="s">
        <v>56</v>
      </c>
      <c r="C62" s="142">
        <f>+C60</f>
        <v>3.57</v>
      </c>
      <c r="D62" s="143">
        <v>3.53</v>
      </c>
      <c r="E62" s="144">
        <v>3.61</v>
      </c>
      <c r="F62" s="148">
        <f t="shared" ref="F62:M62" si="102">+F60</f>
        <v>3.58</v>
      </c>
      <c r="G62" s="149">
        <f t="shared" si="102"/>
        <v>3.58</v>
      </c>
      <c r="H62" s="149">
        <f t="shared" si="102"/>
        <v>3.58</v>
      </c>
      <c r="I62" s="150">
        <f t="shared" si="102"/>
        <v>3.58</v>
      </c>
      <c r="J62" s="151">
        <f t="shared" si="102"/>
        <v>3.56</v>
      </c>
      <c r="K62" s="162">
        <f t="shared" si="102"/>
        <v>3.57</v>
      </c>
      <c r="L62" s="162">
        <f t="shared" si="102"/>
        <v>3.54</v>
      </c>
      <c r="M62" s="162">
        <f t="shared" si="102"/>
        <v>3.59</v>
      </c>
      <c r="N62" s="151">
        <f t="shared" ref="N62:S62" si="103">+N60</f>
        <v>3.56</v>
      </c>
      <c r="O62" s="162">
        <f t="shared" si="103"/>
        <v>3.59</v>
      </c>
      <c r="P62" s="162">
        <f t="shared" si="103"/>
        <v>3.59</v>
      </c>
      <c r="Q62" s="246">
        <f t="shared" si="103"/>
        <v>3.57</v>
      </c>
      <c r="R62" s="263">
        <f t="shared" si="103"/>
        <v>3.58</v>
      </c>
      <c r="S62" s="162">
        <f t="shared" si="103"/>
        <v>3.59</v>
      </c>
      <c r="T62" s="246">
        <f t="shared" ref="T62:U62" si="104">+T60</f>
        <v>3.6</v>
      </c>
      <c r="U62" s="246">
        <f t="shared" si="104"/>
        <v>3.62</v>
      </c>
      <c r="V62" s="263">
        <f t="shared" ref="V62:W62" si="105">+V60</f>
        <v>3.6</v>
      </c>
      <c r="W62" s="162">
        <f t="shared" si="105"/>
        <v>3.58</v>
      </c>
      <c r="X62" s="162">
        <f t="shared" ref="X62:AA62" si="106">+X60</f>
        <v>3.58</v>
      </c>
      <c r="Y62" s="473">
        <f t="shared" si="106"/>
        <v>3.57</v>
      </c>
      <c r="Z62" s="263">
        <f t="shared" si="106"/>
        <v>3.57</v>
      </c>
      <c r="AA62" s="162">
        <f t="shared" si="106"/>
        <v>3.49</v>
      </c>
      <c r="AB62" s="162">
        <f t="shared" ref="AB62:AE62" si="107">+AB60</f>
        <v>3.52</v>
      </c>
      <c r="AC62" s="473">
        <f t="shared" si="107"/>
        <v>3.53</v>
      </c>
      <c r="AD62" s="263">
        <f t="shared" si="107"/>
        <v>3.53</v>
      </c>
      <c r="AE62" s="162">
        <f t="shared" si="107"/>
        <v>3.47</v>
      </c>
      <c r="AF62" s="162">
        <f t="shared" ref="AF62:AI62" si="108">+AF60</f>
        <v>3.36</v>
      </c>
      <c r="AG62" s="473">
        <f t="shared" si="108"/>
        <v>3.39</v>
      </c>
      <c r="AH62" s="263">
        <f t="shared" si="108"/>
        <v>3.42</v>
      </c>
      <c r="AI62" s="162">
        <f t="shared" si="108"/>
        <v>3.38</v>
      </c>
      <c r="AJ62" s="162">
        <f t="shared" ref="AJ62:AO62" si="109">+AJ60</f>
        <v>3.39</v>
      </c>
      <c r="AK62" s="473">
        <f t="shared" si="109"/>
        <v>3.39</v>
      </c>
      <c r="AL62" s="263">
        <f t="shared" si="109"/>
        <v>3.39</v>
      </c>
      <c r="AM62" s="162">
        <f t="shared" si="109"/>
        <v>3.39</v>
      </c>
      <c r="AN62" s="162">
        <f t="shared" si="109"/>
        <v>3.39</v>
      </c>
      <c r="AO62" s="473">
        <f t="shared" si="109"/>
        <v>3.36</v>
      </c>
      <c r="AP62" s="263">
        <f t="shared" ref="AP62:AS62" si="110">+AP60</f>
        <v>3.34</v>
      </c>
      <c r="AQ62" s="162">
        <f t="shared" si="110"/>
        <v>3.22</v>
      </c>
      <c r="AR62" s="162">
        <f t="shared" si="110"/>
        <v>0</v>
      </c>
      <c r="AS62" s="473">
        <f t="shared" si="110"/>
        <v>0</v>
      </c>
      <c r="AT62" s="347"/>
      <c r="AU62" s="347"/>
      <c r="AV62" s="347"/>
      <c r="AW62" s="347"/>
      <c r="AX62" s="347"/>
      <c r="AY62" s="347"/>
      <c r="AZ62" s="347"/>
      <c r="BA62" s="347"/>
      <c r="BB62" s="347"/>
      <c r="BC62" s="347"/>
      <c r="BD62" s="347"/>
      <c r="BE62" s="347"/>
      <c r="BF62" s="347"/>
      <c r="BG62" s="347"/>
    </row>
    <row r="63" spans="1:59" s="208" customFormat="1" x14ac:dyDescent="0.25">
      <c r="A63" s="225"/>
      <c r="B63" s="292" t="s">
        <v>100</v>
      </c>
      <c r="C63" s="213"/>
      <c r="E63" s="227"/>
      <c r="F63" s="225"/>
      <c r="I63" s="227"/>
      <c r="J63" s="288"/>
      <c r="K63" s="243"/>
      <c r="L63" s="243"/>
      <c r="M63" s="243"/>
      <c r="N63" s="288"/>
      <c r="O63" s="243"/>
      <c r="P63" s="243"/>
      <c r="Q63" s="243"/>
      <c r="R63" s="288"/>
      <c r="S63" s="243"/>
      <c r="T63" s="243"/>
      <c r="U63" s="243"/>
      <c r="V63" s="288"/>
      <c r="W63" s="243"/>
      <c r="X63" s="243"/>
      <c r="Y63" s="326"/>
      <c r="Z63" s="288"/>
      <c r="AA63" s="243"/>
      <c r="AB63" s="243"/>
      <c r="AC63" s="326"/>
      <c r="AD63" s="288"/>
      <c r="AE63" s="243"/>
      <c r="AF63" s="243"/>
      <c r="AG63" s="326"/>
      <c r="AH63" s="288"/>
      <c r="AI63" s="243"/>
      <c r="AJ63" s="243"/>
      <c r="AK63" s="326"/>
      <c r="AL63" s="288"/>
      <c r="AM63" s="243"/>
      <c r="AN63" s="243"/>
      <c r="AO63" s="326"/>
      <c r="AP63" s="288"/>
      <c r="AQ63" s="243"/>
      <c r="AR63" s="243"/>
      <c r="AS63" s="326"/>
    </row>
    <row r="64" spans="1:59" s="208" customFormat="1" x14ac:dyDescent="0.25">
      <c r="A64" s="225"/>
      <c r="B64" s="227" t="s">
        <v>52</v>
      </c>
      <c r="C64" s="213">
        <v>29491</v>
      </c>
      <c r="D64" s="253">
        <v>30722</v>
      </c>
      <c r="E64" s="352">
        <f>30863</f>
        <v>30863</v>
      </c>
      <c r="F64" s="226">
        <v>29975</v>
      </c>
      <c r="G64" s="253">
        <v>30904</v>
      </c>
      <c r="H64" s="253">
        <v>32334</v>
      </c>
      <c r="I64" s="352">
        <v>30940</v>
      </c>
      <c r="J64" s="211">
        <f>60257/2</f>
        <v>30128.5</v>
      </c>
      <c r="K64" s="242">
        <v>32141</v>
      </c>
      <c r="L64" s="242">
        <v>30855</v>
      </c>
      <c r="M64" s="242">
        <v>31451</v>
      </c>
      <c r="N64" s="211">
        <v>29294</v>
      </c>
      <c r="O64" s="242">
        <v>31537</v>
      </c>
      <c r="P64" s="242">
        <v>25598</v>
      </c>
      <c r="Q64" s="242">
        <v>31124</v>
      </c>
      <c r="R64" s="211">
        <v>28777</v>
      </c>
      <c r="S64" s="242">
        <v>31576</v>
      </c>
      <c r="T64" s="242">
        <v>31572</v>
      </c>
      <c r="U64" s="242">
        <v>30845</v>
      </c>
      <c r="V64" s="211">
        <v>29878</v>
      </c>
      <c r="W64" s="242">
        <v>30836</v>
      </c>
      <c r="X64" s="242">
        <v>28770.400000000001</v>
      </c>
      <c r="Y64" s="407">
        <v>29767</v>
      </c>
      <c r="Z64" s="211">
        <v>28043</v>
      </c>
      <c r="AA64" s="242">
        <v>29511</v>
      </c>
      <c r="AB64" s="242">
        <v>28670</v>
      </c>
      <c r="AC64" s="407">
        <v>29310</v>
      </c>
      <c r="AD64" s="211">
        <v>26396</v>
      </c>
      <c r="AE64" s="242">
        <v>30946</v>
      </c>
      <c r="AF64" s="242">
        <v>29060</v>
      </c>
      <c r="AG64" s="407">
        <v>29906</v>
      </c>
      <c r="AH64" s="211">
        <v>29982</v>
      </c>
      <c r="AI64" s="242">
        <v>31686</v>
      </c>
      <c r="AJ64" s="242">
        <v>31408</v>
      </c>
      <c r="AK64" s="407">
        <v>29563</v>
      </c>
      <c r="AL64" s="211">
        <v>28258</v>
      </c>
      <c r="AM64" s="242">
        <v>30796</v>
      </c>
      <c r="AN64" s="242">
        <v>29646</v>
      </c>
      <c r="AO64" s="407">
        <v>28319</v>
      </c>
      <c r="AP64" s="211">
        <v>27605</v>
      </c>
      <c r="AQ64" s="242">
        <v>27397</v>
      </c>
      <c r="AR64" s="242"/>
      <c r="AS64" s="407"/>
    </row>
    <row r="65" spans="1:59" s="208" customFormat="1" x14ac:dyDescent="0.25">
      <c r="A65" s="225"/>
      <c r="B65" s="227" t="s">
        <v>53</v>
      </c>
      <c r="C65" s="213">
        <v>0</v>
      </c>
      <c r="D65" s="208">
        <v>0</v>
      </c>
      <c r="E65" s="227">
        <v>0</v>
      </c>
      <c r="F65" s="225">
        <v>0</v>
      </c>
      <c r="G65" s="208">
        <v>0</v>
      </c>
      <c r="H65" s="208">
        <v>0</v>
      </c>
      <c r="I65" s="227">
        <v>0</v>
      </c>
      <c r="J65" s="288"/>
      <c r="K65" s="243"/>
      <c r="L65" s="243"/>
      <c r="M65" s="243"/>
      <c r="N65" s="288"/>
      <c r="O65" s="243"/>
      <c r="P65" s="243"/>
      <c r="Q65" s="243"/>
      <c r="R65" s="288"/>
      <c r="S65" s="243"/>
      <c r="T65" s="243"/>
      <c r="U65" s="243"/>
      <c r="V65" s="288"/>
      <c r="W65" s="243"/>
      <c r="X65" s="243"/>
      <c r="Y65" s="326"/>
      <c r="Z65" s="288"/>
      <c r="AA65" s="243"/>
      <c r="AB65" s="243"/>
      <c r="AC65" s="326"/>
      <c r="AD65" s="288"/>
      <c r="AE65" s="243"/>
      <c r="AF65" s="243"/>
      <c r="AG65" s="326"/>
      <c r="AH65" s="288"/>
      <c r="AI65" s="243"/>
      <c r="AJ65" s="243"/>
      <c r="AK65" s="326"/>
      <c r="AL65" s="288"/>
      <c r="AM65" s="243"/>
      <c r="AN65" s="243"/>
      <c r="AO65" s="326"/>
      <c r="AP65" s="288"/>
      <c r="AQ65" s="243"/>
      <c r="AR65" s="243"/>
      <c r="AS65" s="326"/>
    </row>
    <row r="66" spans="1:59" s="1" customFormat="1" x14ac:dyDescent="0.25">
      <c r="A66" s="306"/>
      <c r="B66" s="290" t="s">
        <v>54</v>
      </c>
      <c r="C66" s="139">
        <f t="shared" ref="C66:I66" si="111">+C65+C64</f>
        <v>29491</v>
      </c>
      <c r="D66" s="140">
        <f t="shared" si="111"/>
        <v>30722</v>
      </c>
      <c r="E66" s="141">
        <f t="shared" si="111"/>
        <v>30863</v>
      </c>
      <c r="F66" s="139">
        <f t="shared" si="111"/>
        <v>29975</v>
      </c>
      <c r="G66" s="140">
        <f t="shared" si="111"/>
        <v>30904</v>
      </c>
      <c r="H66" s="140">
        <f t="shared" si="111"/>
        <v>32334</v>
      </c>
      <c r="I66" s="141">
        <f t="shared" si="111"/>
        <v>30940</v>
      </c>
      <c r="J66" s="139">
        <f t="shared" ref="J66:Q66" si="112">+J65+J64</f>
        <v>30128.5</v>
      </c>
      <c r="K66" s="140">
        <f t="shared" si="112"/>
        <v>32141</v>
      </c>
      <c r="L66" s="140">
        <f t="shared" si="112"/>
        <v>30855</v>
      </c>
      <c r="M66" s="140">
        <f t="shared" si="112"/>
        <v>31451</v>
      </c>
      <c r="N66" s="139">
        <f t="shared" si="112"/>
        <v>29294</v>
      </c>
      <c r="O66" s="140">
        <f t="shared" si="112"/>
        <v>31537</v>
      </c>
      <c r="P66" s="140">
        <f t="shared" si="112"/>
        <v>25598</v>
      </c>
      <c r="Q66" s="140">
        <f t="shared" si="112"/>
        <v>31124</v>
      </c>
      <c r="R66" s="139">
        <f t="shared" ref="R66:S66" si="113">+R65+R64</f>
        <v>28777</v>
      </c>
      <c r="S66" s="140">
        <f t="shared" si="113"/>
        <v>31576</v>
      </c>
      <c r="T66" s="140">
        <f t="shared" ref="T66:U66" si="114">+T65+T64</f>
        <v>31572</v>
      </c>
      <c r="U66" s="140">
        <f t="shared" si="114"/>
        <v>30845</v>
      </c>
      <c r="V66" s="139">
        <f t="shared" ref="V66:W66" si="115">+V65+V64</f>
        <v>29878</v>
      </c>
      <c r="W66" s="140">
        <f t="shared" si="115"/>
        <v>30836</v>
      </c>
      <c r="X66" s="140">
        <f t="shared" ref="X66:AA66" si="116">+X65+X64</f>
        <v>28770.400000000001</v>
      </c>
      <c r="Y66" s="141">
        <f t="shared" si="116"/>
        <v>29767</v>
      </c>
      <c r="Z66" s="139">
        <f t="shared" si="116"/>
        <v>28043</v>
      </c>
      <c r="AA66" s="140">
        <f t="shared" si="116"/>
        <v>29511</v>
      </c>
      <c r="AB66" s="140">
        <f t="shared" ref="AB66:AE66" si="117">+AB65+AB64</f>
        <v>28670</v>
      </c>
      <c r="AC66" s="141">
        <f t="shared" si="117"/>
        <v>29310</v>
      </c>
      <c r="AD66" s="139">
        <f t="shared" si="117"/>
        <v>26396</v>
      </c>
      <c r="AE66" s="140">
        <f t="shared" si="117"/>
        <v>30946</v>
      </c>
      <c r="AF66" s="140">
        <f t="shared" ref="AF66:AI66" si="118">+AF65+AF64</f>
        <v>29060</v>
      </c>
      <c r="AG66" s="141">
        <f t="shared" si="118"/>
        <v>29906</v>
      </c>
      <c r="AH66" s="139">
        <f t="shared" si="118"/>
        <v>29982</v>
      </c>
      <c r="AI66" s="140">
        <f t="shared" si="118"/>
        <v>31686</v>
      </c>
      <c r="AJ66" s="140">
        <f t="shared" ref="AJ66:AO66" si="119">+AJ65+AJ64</f>
        <v>31408</v>
      </c>
      <c r="AK66" s="141">
        <f t="shared" si="119"/>
        <v>29563</v>
      </c>
      <c r="AL66" s="139">
        <f t="shared" si="119"/>
        <v>28258</v>
      </c>
      <c r="AM66" s="140">
        <f t="shared" si="119"/>
        <v>30796</v>
      </c>
      <c r="AN66" s="140">
        <f t="shared" si="119"/>
        <v>29646</v>
      </c>
      <c r="AO66" s="141">
        <f t="shared" si="119"/>
        <v>28319</v>
      </c>
      <c r="AP66" s="139">
        <f t="shared" ref="AP66:AS66" si="120">+AP65+AP64</f>
        <v>27605</v>
      </c>
      <c r="AQ66" s="140">
        <f t="shared" si="120"/>
        <v>27397</v>
      </c>
      <c r="AR66" s="140">
        <f t="shared" si="120"/>
        <v>0</v>
      </c>
      <c r="AS66" s="141">
        <f t="shared" si="120"/>
        <v>0</v>
      </c>
      <c r="AT66" s="347"/>
      <c r="AU66" s="347"/>
      <c r="AV66" s="347"/>
      <c r="AW66" s="347"/>
      <c r="AX66" s="347"/>
      <c r="AY66" s="347"/>
      <c r="AZ66" s="347"/>
      <c r="BA66" s="347"/>
      <c r="BB66" s="347"/>
      <c r="BC66" s="347"/>
      <c r="BD66" s="347"/>
      <c r="BE66" s="347"/>
      <c r="BF66" s="347"/>
      <c r="BG66" s="347"/>
    </row>
    <row r="67" spans="1:59" s="208" customFormat="1" x14ac:dyDescent="0.25">
      <c r="A67" s="225"/>
      <c r="B67" s="292" t="s">
        <v>124</v>
      </c>
      <c r="C67" s="213"/>
      <c r="E67" s="227"/>
      <c r="F67" s="225"/>
      <c r="I67" s="227"/>
      <c r="J67" s="288"/>
      <c r="K67" s="243"/>
      <c r="L67" s="243"/>
      <c r="M67" s="243"/>
      <c r="N67" s="288"/>
      <c r="O67" s="243"/>
      <c r="P67" s="243"/>
      <c r="Q67" s="243"/>
      <c r="R67" s="288"/>
      <c r="S67" s="243"/>
      <c r="T67" s="243"/>
      <c r="U67" s="243"/>
      <c r="V67" s="288"/>
      <c r="W67" s="243"/>
      <c r="X67" s="243"/>
      <c r="Y67" s="326"/>
      <c r="Z67" s="288"/>
      <c r="AA67" s="243"/>
      <c r="AB67" s="243"/>
      <c r="AC67" s="326"/>
      <c r="AD67" s="288"/>
      <c r="AE67" s="243"/>
      <c r="AF67" s="243"/>
      <c r="AG67" s="326"/>
      <c r="AH67" s="288"/>
      <c r="AI67" s="243"/>
      <c r="AJ67" s="243"/>
      <c r="AK67" s="326"/>
      <c r="AL67" s="288"/>
      <c r="AM67" s="243"/>
      <c r="AN67" s="243"/>
      <c r="AO67" s="326"/>
      <c r="AP67" s="288"/>
      <c r="AQ67" s="243"/>
      <c r="AR67" s="243"/>
      <c r="AS67" s="326"/>
    </row>
    <row r="68" spans="1:59" s="208" customFormat="1" x14ac:dyDescent="0.25">
      <c r="A68" s="225"/>
      <c r="B68" s="227" t="s">
        <v>52</v>
      </c>
      <c r="C68" s="213">
        <v>1035</v>
      </c>
      <c r="D68" s="208">
        <v>907</v>
      </c>
      <c r="E68" s="227">
        <v>917</v>
      </c>
      <c r="F68" s="225">
        <v>798</v>
      </c>
      <c r="G68" s="208">
        <v>993</v>
      </c>
      <c r="H68" s="208">
        <v>750</v>
      </c>
      <c r="I68" s="227">
        <v>929</v>
      </c>
      <c r="J68" s="288">
        <v>769</v>
      </c>
      <c r="K68" s="243">
        <v>899</v>
      </c>
      <c r="L68" s="243">
        <v>924</v>
      </c>
      <c r="M68" s="243">
        <v>927</v>
      </c>
      <c r="N68" s="288">
        <v>978</v>
      </c>
      <c r="O68" s="243">
        <v>973</v>
      </c>
      <c r="P68" s="242">
        <v>1075</v>
      </c>
      <c r="Q68" s="279">
        <v>929</v>
      </c>
      <c r="R68" s="353">
        <v>1034</v>
      </c>
      <c r="S68" s="242">
        <v>1212</v>
      </c>
      <c r="T68" s="242">
        <v>1204</v>
      </c>
      <c r="U68" s="242">
        <v>1129</v>
      </c>
      <c r="V68" s="211">
        <v>1050</v>
      </c>
      <c r="W68" s="242">
        <v>1085</v>
      </c>
      <c r="X68" s="242">
        <v>1173</v>
      </c>
      <c r="Y68" s="407">
        <v>1180</v>
      </c>
      <c r="Z68" s="211">
        <v>1203</v>
      </c>
      <c r="AA68" s="242">
        <v>1292</v>
      </c>
      <c r="AB68" s="242">
        <v>1493</v>
      </c>
      <c r="AC68" s="407">
        <v>1553</v>
      </c>
      <c r="AD68" s="211">
        <v>1653</v>
      </c>
      <c r="AE68" s="242">
        <v>1730</v>
      </c>
      <c r="AF68" s="242">
        <v>1812</v>
      </c>
      <c r="AG68" s="407">
        <v>1697</v>
      </c>
      <c r="AH68" s="211">
        <v>1762</v>
      </c>
      <c r="AI68" s="242">
        <v>1671</v>
      </c>
      <c r="AJ68" s="242">
        <v>1710</v>
      </c>
      <c r="AK68" s="407">
        <v>1641</v>
      </c>
      <c r="AL68" s="211">
        <v>1627</v>
      </c>
      <c r="AM68" s="242">
        <v>1830</v>
      </c>
      <c r="AN68" s="242">
        <v>1881</v>
      </c>
      <c r="AO68" s="407">
        <v>1721</v>
      </c>
      <c r="AP68" s="211">
        <v>1658</v>
      </c>
      <c r="AQ68" s="242">
        <v>1785</v>
      </c>
      <c r="AR68" s="242"/>
      <c r="AS68" s="407"/>
    </row>
    <row r="69" spans="1:59" s="208" customFormat="1" x14ac:dyDescent="0.25">
      <c r="A69" s="225"/>
      <c r="B69" s="227" t="s">
        <v>53</v>
      </c>
      <c r="C69" s="213">
        <v>0</v>
      </c>
      <c r="D69" s="208">
        <v>0</v>
      </c>
      <c r="E69" s="227">
        <v>0</v>
      </c>
      <c r="F69" s="225">
        <v>0</v>
      </c>
      <c r="G69" s="208">
        <v>0</v>
      </c>
      <c r="H69" s="208">
        <v>0</v>
      </c>
      <c r="I69" s="227">
        <v>0</v>
      </c>
      <c r="J69" s="288"/>
      <c r="K69" s="243"/>
      <c r="L69" s="243"/>
      <c r="M69" s="243"/>
      <c r="N69" s="288"/>
      <c r="O69" s="243"/>
      <c r="P69" s="243"/>
      <c r="Q69" s="243"/>
      <c r="R69" s="288"/>
      <c r="S69" s="243"/>
      <c r="T69" s="243"/>
      <c r="U69" s="243"/>
      <c r="V69" s="288"/>
      <c r="W69" s="243"/>
      <c r="X69" s="243"/>
      <c r="Y69" s="326"/>
      <c r="Z69" s="288"/>
      <c r="AA69" s="243"/>
      <c r="AB69" s="243"/>
      <c r="AC69" s="326"/>
      <c r="AD69" s="288"/>
      <c r="AE69" s="243"/>
      <c r="AF69" s="243"/>
      <c r="AG69" s="326"/>
      <c r="AH69" s="288"/>
      <c r="AI69" s="243"/>
      <c r="AJ69" s="243"/>
      <c r="AK69" s="326"/>
      <c r="AL69" s="288"/>
      <c r="AM69" s="243"/>
      <c r="AN69" s="243"/>
      <c r="AO69" s="326"/>
      <c r="AP69" s="288"/>
      <c r="AQ69" s="243"/>
      <c r="AR69" s="243"/>
      <c r="AS69" s="326"/>
    </row>
    <row r="70" spans="1:59" s="1" customFormat="1" x14ac:dyDescent="0.25">
      <c r="A70" s="306"/>
      <c r="B70" s="290" t="s">
        <v>54</v>
      </c>
      <c r="C70" s="139">
        <f t="shared" ref="C70:I70" si="121">+((C68*C56)+(C69*C57))/(C58)</f>
        <v>1035</v>
      </c>
      <c r="D70" s="140">
        <f t="shared" si="121"/>
        <v>907</v>
      </c>
      <c r="E70" s="141">
        <f t="shared" si="121"/>
        <v>917</v>
      </c>
      <c r="F70" s="139">
        <f t="shared" si="121"/>
        <v>798</v>
      </c>
      <c r="G70" s="140">
        <f t="shared" si="121"/>
        <v>993</v>
      </c>
      <c r="H70" s="140">
        <f t="shared" si="121"/>
        <v>750</v>
      </c>
      <c r="I70" s="141">
        <f t="shared" si="121"/>
        <v>929</v>
      </c>
      <c r="J70" s="139">
        <f t="shared" ref="J70:Q70" si="122">+((J68*J56)+(J69*J57))/(J58)</f>
        <v>769</v>
      </c>
      <c r="K70" s="140">
        <f t="shared" si="122"/>
        <v>899</v>
      </c>
      <c r="L70" s="140">
        <f t="shared" si="122"/>
        <v>924</v>
      </c>
      <c r="M70" s="140">
        <f t="shared" si="122"/>
        <v>927</v>
      </c>
      <c r="N70" s="139">
        <f t="shared" si="122"/>
        <v>978</v>
      </c>
      <c r="O70" s="140">
        <f t="shared" si="122"/>
        <v>973</v>
      </c>
      <c r="P70" s="140">
        <f t="shared" si="122"/>
        <v>1075</v>
      </c>
      <c r="Q70" s="140">
        <f t="shared" si="122"/>
        <v>929</v>
      </c>
      <c r="R70" s="139">
        <f t="shared" ref="R70:S70" si="123">+((R68*R56)+(R69*R57))/(R58)</f>
        <v>1034</v>
      </c>
      <c r="S70" s="140">
        <f t="shared" si="123"/>
        <v>1212</v>
      </c>
      <c r="T70" s="140">
        <f t="shared" ref="T70:U70" si="124">+((T68*T56)+(T69*T57))/(T58)</f>
        <v>1204</v>
      </c>
      <c r="U70" s="140">
        <f t="shared" si="124"/>
        <v>1129</v>
      </c>
      <c r="V70" s="139">
        <f t="shared" ref="V70:W70" si="125">+((V68*V56)+(V69*V57))/(V58)</f>
        <v>1050</v>
      </c>
      <c r="W70" s="140">
        <f t="shared" si="125"/>
        <v>1085</v>
      </c>
      <c r="X70" s="140">
        <f t="shared" ref="X70:AA70" si="126">+((X68*X56)+(X69*X57))/(X58)</f>
        <v>1173</v>
      </c>
      <c r="Y70" s="141">
        <f t="shared" si="126"/>
        <v>1180</v>
      </c>
      <c r="Z70" s="139">
        <f t="shared" si="126"/>
        <v>1203</v>
      </c>
      <c r="AA70" s="140">
        <f t="shared" si="126"/>
        <v>1292</v>
      </c>
      <c r="AB70" s="140">
        <f t="shared" ref="AB70:AE70" si="127">+((AB68*AB56)+(AB69*AB57))/(AB58)</f>
        <v>1493</v>
      </c>
      <c r="AC70" s="141">
        <f t="shared" si="127"/>
        <v>1553</v>
      </c>
      <c r="AD70" s="139">
        <f t="shared" si="127"/>
        <v>1653</v>
      </c>
      <c r="AE70" s="140">
        <f t="shared" si="127"/>
        <v>1730</v>
      </c>
      <c r="AF70" s="140">
        <f t="shared" ref="AF70:AI70" si="128">+((AF68*AF56)+(AF69*AF57))/(AF58)</f>
        <v>1812</v>
      </c>
      <c r="AG70" s="141">
        <f t="shared" si="128"/>
        <v>1697</v>
      </c>
      <c r="AH70" s="139">
        <f t="shared" si="128"/>
        <v>1762</v>
      </c>
      <c r="AI70" s="140">
        <f t="shared" si="128"/>
        <v>1671</v>
      </c>
      <c r="AJ70" s="140">
        <f t="shared" ref="AJ70:AO70" si="129">+((AJ68*AJ56)+(AJ69*AJ57))/(AJ58)</f>
        <v>1710</v>
      </c>
      <c r="AK70" s="141">
        <f t="shared" si="129"/>
        <v>1641</v>
      </c>
      <c r="AL70" s="139">
        <f t="shared" si="129"/>
        <v>1627</v>
      </c>
      <c r="AM70" s="140">
        <f t="shared" si="129"/>
        <v>1830</v>
      </c>
      <c r="AN70" s="140">
        <f t="shared" si="129"/>
        <v>1881</v>
      </c>
      <c r="AO70" s="141">
        <f t="shared" si="129"/>
        <v>1721</v>
      </c>
      <c r="AP70" s="139">
        <f t="shared" ref="AP70:AS70" si="130">+((AP68*AP56)+(AP69*AP57))/(AP58)</f>
        <v>1657.9999999999998</v>
      </c>
      <c r="AQ70" s="140">
        <f t="shared" si="130"/>
        <v>1785</v>
      </c>
      <c r="AR70" s="140" t="e">
        <f t="shared" si="130"/>
        <v>#DIV/0!</v>
      </c>
      <c r="AS70" s="141" t="e">
        <f t="shared" si="130"/>
        <v>#DIV/0!</v>
      </c>
      <c r="AT70" s="347"/>
      <c r="AU70" s="347"/>
      <c r="AV70" s="347"/>
      <c r="AW70" s="347"/>
      <c r="AX70" s="347"/>
      <c r="AY70" s="347"/>
      <c r="AZ70" s="347"/>
      <c r="BA70" s="347"/>
      <c r="BB70" s="347"/>
      <c r="BC70" s="347"/>
      <c r="BD70" s="347"/>
      <c r="BE70" s="347"/>
      <c r="BF70" s="347"/>
      <c r="BG70" s="347"/>
    </row>
    <row r="71" spans="1:59" s="208" customFormat="1" x14ac:dyDescent="0.25">
      <c r="A71" s="225"/>
      <c r="B71" s="227"/>
      <c r="C71" s="225"/>
      <c r="E71" s="227"/>
      <c r="F71" s="225"/>
      <c r="I71" s="227"/>
      <c r="J71" s="225"/>
      <c r="N71" s="225"/>
      <c r="R71" s="225"/>
      <c r="V71" s="225"/>
      <c r="Y71" s="227"/>
      <c r="Z71" s="225"/>
      <c r="AC71" s="227"/>
      <c r="AD71" s="225"/>
      <c r="AG71" s="227"/>
      <c r="AH71" s="225"/>
      <c r="AK71" s="227"/>
      <c r="AL71" s="225"/>
      <c r="AO71" s="227"/>
      <c r="AP71" s="225"/>
      <c r="AS71" s="227"/>
    </row>
    <row r="72" spans="1:59" ht="15.75" x14ac:dyDescent="0.25">
      <c r="A72" s="225"/>
      <c r="B72" s="203" t="s">
        <v>161</v>
      </c>
      <c r="C72" s="199"/>
      <c r="D72" s="200"/>
      <c r="E72" s="201"/>
      <c r="F72" s="202"/>
      <c r="G72" s="200"/>
      <c r="H72" s="200"/>
      <c r="I72" s="201"/>
      <c r="J72" s="202"/>
      <c r="K72" s="200"/>
      <c r="L72" s="200"/>
      <c r="M72" s="200"/>
      <c r="N72" s="202"/>
      <c r="O72" s="200"/>
      <c r="P72" s="200"/>
      <c r="Q72" s="200"/>
      <c r="R72" s="202"/>
      <c r="S72" s="200"/>
      <c r="T72" s="200"/>
      <c r="U72" s="200"/>
      <c r="V72" s="202"/>
      <c r="W72" s="200"/>
      <c r="X72" s="200"/>
      <c r="Y72" s="201"/>
      <c r="Z72" s="202"/>
      <c r="AA72" s="200"/>
      <c r="AB72" s="200"/>
      <c r="AC72" s="201"/>
      <c r="AD72" s="202"/>
      <c r="AE72" s="200"/>
      <c r="AF72" s="200"/>
      <c r="AG72" s="201"/>
      <c r="AH72" s="202"/>
      <c r="AI72" s="200"/>
      <c r="AJ72" s="200"/>
      <c r="AK72" s="201"/>
      <c r="AL72" s="202"/>
      <c r="AM72" s="200"/>
      <c r="AN72" s="200"/>
      <c r="AO72" s="201"/>
      <c r="AP72" s="202"/>
      <c r="AQ72" s="200"/>
      <c r="AR72" s="200"/>
      <c r="AS72" s="201"/>
    </row>
    <row r="73" spans="1:59" s="208" customFormat="1" x14ac:dyDescent="0.25">
      <c r="A73" s="225"/>
      <c r="B73" s="292" t="s">
        <v>135</v>
      </c>
      <c r="C73" s="213"/>
      <c r="E73" s="227"/>
      <c r="F73" s="225"/>
      <c r="I73" s="227"/>
      <c r="J73" s="225"/>
      <c r="N73" s="225"/>
      <c r="R73" s="225"/>
      <c r="V73" s="225"/>
      <c r="Y73" s="227"/>
      <c r="Z73" s="225"/>
      <c r="AC73" s="227"/>
      <c r="AD73" s="225"/>
      <c r="AG73" s="227"/>
      <c r="AH73" s="225"/>
      <c r="AK73" s="227"/>
      <c r="AL73" s="225"/>
      <c r="AO73" s="227"/>
      <c r="AP73" s="225"/>
      <c r="AS73" s="227"/>
    </row>
    <row r="74" spans="1:59" s="208" customFormat="1" x14ac:dyDescent="0.25">
      <c r="A74" s="225"/>
      <c r="B74" s="250" t="s">
        <v>66</v>
      </c>
      <c r="C74" s="210">
        <v>419.6</v>
      </c>
      <c r="D74" s="208">
        <v>420.8</v>
      </c>
      <c r="E74" s="227">
        <f>382.7+0.1</f>
        <v>382.8</v>
      </c>
      <c r="F74" s="225">
        <v>386</v>
      </c>
      <c r="G74" s="208">
        <v>419.8</v>
      </c>
      <c r="H74" s="208">
        <v>363.4</v>
      </c>
      <c r="I74" s="227">
        <v>518.4</v>
      </c>
      <c r="J74" s="288">
        <v>452.2</v>
      </c>
      <c r="K74" s="243">
        <v>464.5</v>
      </c>
      <c r="L74" s="243">
        <v>435.3</v>
      </c>
      <c r="M74" s="243">
        <v>505.4</v>
      </c>
      <c r="N74" s="288">
        <v>529.6</v>
      </c>
      <c r="O74" s="277">
        <f>582-0.1</f>
        <v>581.9</v>
      </c>
      <c r="P74" s="243">
        <v>488.4</v>
      </c>
      <c r="Q74" s="243">
        <v>742.7</v>
      </c>
      <c r="R74" s="211">
        <v>900</v>
      </c>
      <c r="S74" s="242">
        <v>363</v>
      </c>
      <c r="T74" s="242">
        <v>1003</v>
      </c>
      <c r="U74" s="407">
        <v>1629</v>
      </c>
      <c r="V74" s="211">
        <v>1305</v>
      </c>
      <c r="W74" s="242">
        <v>1414</v>
      </c>
      <c r="X74" s="242">
        <v>963</v>
      </c>
      <c r="Y74" s="407">
        <v>711</v>
      </c>
      <c r="Z74" s="211">
        <v>1035</v>
      </c>
      <c r="AA74" s="242">
        <v>1304</v>
      </c>
      <c r="AB74" s="242">
        <v>813</v>
      </c>
      <c r="AC74" s="407">
        <v>1115</v>
      </c>
      <c r="AD74" s="242">
        <v>848</v>
      </c>
      <c r="AE74" s="242">
        <v>973</v>
      </c>
      <c r="AF74" s="242">
        <v>636</v>
      </c>
      <c r="AG74" s="407">
        <v>760</v>
      </c>
      <c r="AH74" s="242">
        <v>720</v>
      </c>
      <c r="AI74" s="242">
        <v>827</v>
      </c>
      <c r="AJ74" s="242">
        <v>763</v>
      </c>
      <c r="AK74" s="407">
        <v>794</v>
      </c>
      <c r="AL74" s="242">
        <v>458</v>
      </c>
      <c r="AM74" s="242">
        <v>551</v>
      </c>
      <c r="AN74" s="242">
        <v>1331</v>
      </c>
      <c r="AO74" s="407">
        <v>1273</v>
      </c>
      <c r="AP74" s="242">
        <v>1214</v>
      </c>
      <c r="AQ74" s="242">
        <v>1257</v>
      </c>
      <c r="AR74" s="242"/>
      <c r="AS74" s="407"/>
    </row>
    <row r="75" spans="1:59" s="208" customFormat="1" x14ac:dyDescent="0.25">
      <c r="A75" s="225"/>
      <c r="B75" s="250" t="s">
        <v>132</v>
      </c>
      <c r="C75" s="276">
        <v>-351.5</v>
      </c>
      <c r="D75" s="244">
        <v>-305.7</v>
      </c>
      <c r="E75" s="315">
        <v>-311.8</v>
      </c>
      <c r="F75" s="276">
        <v>-267.39999999999998</v>
      </c>
      <c r="G75" s="244">
        <v>-343.5</v>
      </c>
      <c r="H75" s="244">
        <v>-269</v>
      </c>
      <c r="I75" s="315">
        <v>-320.60000000000002</v>
      </c>
      <c r="J75" s="276">
        <v>-259.7</v>
      </c>
      <c r="K75" s="244">
        <v>-324.2</v>
      </c>
      <c r="L75" s="244">
        <v>-324.39999999999998</v>
      </c>
      <c r="M75" s="244">
        <v>-327.39999999999998</v>
      </c>
      <c r="N75" s="276">
        <v>-331.6</v>
      </c>
      <c r="O75" s="244">
        <v>-355</v>
      </c>
      <c r="P75" s="244">
        <v>-317</v>
      </c>
      <c r="Q75" s="244">
        <v>-332.7</v>
      </c>
      <c r="R75" s="361">
        <v>-354</v>
      </c>
      <c r="S75" s="417">
        <v>-220</v>
      </c>
      <c r="T75" s="417">
        <v>-463</v>
      </c>
      <c r="U75" s="431">
        <v>-565</v>
      </c>
      <c r="V75" s="361">
        <v>-372</v>
      </c>
      <c r="W75" s="417">
        <v>-402</v>
      </c>
      <c r="X75" s="417">
        <v>-419</v>
      </c>
      <c r="Y75" s="431">
        <v>-394</v>
      </c>
      <c r="Z75" s="361">
        <v>-430</v>
      </c>
      <c r="AA75" s="417">
        <v>-461</v>
      </c>
      <c r="AB75" s="417">
        <v>-511</v>
      </c>
      <c r="AC75" s="431">
        <v>-535</v>
      </c>
      <c r="AD75" s="417">
        <v>-478</v>
      </c>
      <c r="AE75" s="417">
        <v>-678</v>
      </c>
      <c r="AF75" s="417">
        <v>-640</v>
      </c>
      <c r="AG75" s="431">
        <v>-614</v>
      </c>
      <c r="AH75" s="417">
        <v>-629</v>
      </c>
      <c r="AI75" s="417">
        <v>-631</v>
      </c>
      <c r="AJ75" s="417">
        <v>-642</v>
      </c>
      <c r="AK75" s="431">
        <v>-581</v>
      </c>
      <c r="AL75" s="417">
        <v>-412</v>
      </c>
      <c r="AM75" s="417">
        <v>-501</v>
      </c>
      <c r="AN75" s="417">
        <v>-926</v>
      </c>
      <c r="AO75" s="431">
        <v>-692</v>
      </c>
      <c r="AP75" s="417">
        <v>-464</v>
      </c>
      <c r="AQ75" s="417">
        <v>-693</v>
      </c>
      <c r="AR75" s="417"/>
      <c r="AS75" s="431"/>
    </row>
    <row r="76" spans="1:59" s="208" customFormat="1" x14ac:dyDescent="0.25">
      <c r="A76" s="225"/>
      <c r="B76" s="250"/>
      <c r="C76" s="210">
        <f t="shared" ref="C76:I76" si="131">+C75+C74</f>
        <v>68.100000000000023</v>
      </c>
      <c r="D76" s="221">
        <f t="shared" si="131"/>
        <v>115.10000000000002</v>
      </c>
      <c r="E76" s="222">
        <f t="shared" si="131"/>
        <v>71</v>
      </c>
      <c r="F76" s="210">
        <f t="shared" si="131"/>
        <v>118.60000000000002</v>
      </c>
      <c r="G76" s="221">
        <f t="shared" si="131"/>
        <v>76.300000000000011</v>
      </c>
      <c r="H76" s="221">
        <f t="shared" si="131"/>
        <v>94.399999999999977</v>
      </c>
      <c r="I76" s="222">
        <f t="shared" si="131"/>
        <v>197.79999999999995</v>
      </c>
      <c r="J76" s="210">
        <f t="shared" ref="J76:Q76" si="132">+J75+J74</f>
        <v>192.5</v>
      </c>
      <c r="K76" s="221">
        <f t="shared" si="132"/>
        <v>140.30000000000001</v>
      </c>
      <c r="L76" s="221">
        <f t="shared" si="132"/>
        <v>110.90000000000003</v>
      </c>
      <c r="M76" s="221">
        <f t="shared" si="132"/>
        <v>178</v>
      </c>
      <c r="N76" s="210">
        <f t="shared" si="132"/>
        <v>198</v>
      </c>
      <c r="O76" s="221">
        <f t="shared" si="132"/>
        <v>226.89999999999998</v>
      </c>
      <c r="P76" s="221">
        <f t="shared" si="132"/>
        <v>171.39999999999998</v>
      </c>
      <c r="Q76" s="221">
        <f t="shared" si="132"/>
        <v>410.00000000000006</v>
      </c>
      <c r="R76" s="425">
        <f t="shared" ref="R76:S76" si="133">+R75+R74</f>
        <v>546</v>
      </c>
      <c r="S76" s="359">
        <f t="shared" si="133"/>
        <v>143</v>
      </c>
      <c r="T76" s="426">
        <f t="shared" ref="T76:U76" si="134">+T75+T74</f>
        <v>540</v>
      </c>
      <c r="U76" s="432">
        <f t="shared" si="134"/>
        <v>1064</v>
      </c>
      <c r="V76" s="425">
        <f t="shared" ref="V76:W76" si="135">+V75+V74</f>
        <v>933</v>
      </c>
      <c r="W76" s="426">
        <f t="shared" si="135"/>
        <v>1012</v>
      </c>
      <c r="X76" s="426">
        <f t="shared" ref="X76:AA76" si="136">+X75+X74</f>
        <v>544</v>
      </c>
      <c r="Y76" s="432">
        <f t="shared" si="136"/>
        <v>317</v>
      </c>
      <c r="Z76" s="425">
        <f t="shared" si="136"/>
        <v>605</v>
      </c>
      <c r="AA76" s="426">
        <f t="shared" si="136"/>
        <v>843</v>
      </c>
      <c r="AB76" s="426">
        <f t="shared" ref="AB76:AE76" si="137">+AB75+AB74</f>
        <v>302</v>
      </c>
      <c r="AC76" s="432">
        <f t="shared" si="137"/>
        <v>580</v>
      </c>
      <c r="AD76" s="426">
        <f t="shared" si="137"/>
        <v>370</v>
      </c>
      <c r="AE76" s="426">
        <f t="shared" si="137"/>
        <v>295</v>
      </c>
      <c r="AF76" s="214">
        <f t="shared" ref="AF76:AI76" si="138">+AF75+AF74</f>
        <v>-4</v>
      </c>
      <c r="AG76" s="432">
        <f t="shared" si="138"/>
        <v>146</v>
      </c>
      <c r="AH76" s="426">
        <f t="shared" si="138"/>
        <v>91</v>
      </c>
      <c r="AI76" s="426">
        <f t="shared" si="138"/>
        <v>196</v>
      </c>
      <c r="AJ76" s="214">
        <f t="shared" ref="AJ76:AO76" si="139">+AJ75+AJ74</f>
        <v>121</v>
      </c>
      <c r="AK76" s="432">
        <f t="shared" si="139"/>
        <v>213</v>
      </c>
      <c r="AL76" s="426">
        <f t="shared" si="139"/>
        <v>46</v>
      </c>
      <c r="AM76" s="426">
        <f t="shared" si="139"/>
        <v>50</v>
      </c>
      <c r="AN76" s="214">
        <f t="shared" si="139"/>
        <v>405</v>
      </c>
      <c r="AO76" s="432">
        <f t="shared" si="139"/>
        <v>581</v>
      </c>
      <c r="AP76" s="426">
        <f t="shared" ref="AP76:AS76" si="140">+AP75+AP74</f>
        <v>750</v>
      </c>
      <c r="AQ76" s="426">
        <f t="shared" si="140"/>
        <v>564</v>
      </c>
      <c r="AR76" s="214">
        <f t="shared" si="140"/>
        <v>0</v>
      </c>
      <c r="AS76" s="432">
        <f t="shared" si="140"/>
        <v>0</v>
      </c>
    </row>
    <row r="77" spans="1:59" s="208" customFormat="1" x14ac:dyDescent="0.25">
      <c r="A77" s="225"/>
      <c r="B77" s="250" t="s">
        <v>67</v>
      </c>
      <c r="C77" s="210">
        <v>-67.900000000000006</v>
      </c>
      <c r="D77" s="221">
        <v>-55.5</v>
      </c>
      <c r="E77" s="222">
        <v>-100.3</v>
      </c>
      <c r="F77" s="210">
        <v>-46.3</v>
      </c>
      <c r="G77" s="221">
        <v>-51.5</v>
      </c>
      <c r="H77" s="221">
        <v>-57.9</v>
      </c>
      <c r="I77" s="222">
        <v>-56</v>
      </c>
      <c r="J77" s="210">
        <v>-43.4</v>
      </c>
      <c r="K77" s="221">
        <v>-47.1</v>
      </c>
      <c r="L77" s="221">
        <v>-42.7</v>
      </c>
      <c r="M77" s="221">
        <v>-58.4</v>
      </c>
      <c r="N77" s="210">
        <v>-57.1</v>
      </c>
      <c r="O77" s="221">
        <f>-41.7-0.1</f>
        <v>-41.800000000000004</v>
      </c>
      <c r="P77" s="221">
        <v>-59.1</v>
      </c>
      <c r="Q77" s="221">
        <v>-60.7</v>
      </c>
      <c r="R77" s="213">
        <v>-61</v>
      </c>
      <c r="S77" s="214">
        <v>-82</v>
      </c>
      <c r="T77" s="214">
        <v>-70</v>
      </c>
      <c r="U77" s="259">
        <v>-68</v>
      </c>
      <c r="V77" s="213">
        <v>-66</v>
      </c>
      <c r="W77" s="214">
        <v>-66</v>
      </c>
      <c r="X77" s="214">
        <v>-69</v>
      </c>
      <c r="Y77" s="259">
        <v>-74</v>
      </c>
      <c r="Z77" s="213">
        <v>-73</v>
      </c>
      <c r="AA77" s="214">
        <v>-80</v>
      </c>
      <c r="AB77" s="214">
        <v>-94</v>
      </c>
      <c r="AC77" s="259">
        <v>-96</v>
      </c>
      <c r="AD77" s="214">
        <v>-97</v>
      </c>
      <c r="AE77" s="214">
        <v>-128</v>
      </c>
      <c r="AF77" s="214">
        <v>-123</v>
      </c>
      <c r="AG77" s="259">
        <v>-127</v>
      </c>
      <c r="AH77" s="214">
        <v>-72</v>
      </c>
      <c r="AI77" s="214">
        <v>-78</v>
      </c>
      <c r="AJ77" s="214">
        <v>-88</v>
      </c>
      <c r="AK77" s="259">
        <v>-96</v>
      </c>
      <c r="AL77" s="214">
        <v>-115</v>
      </c>
      <c r="AM77" s="214">
        <v>-117</v>
      </c>
      <c r="AN77" s="214">
        <v>-90</v>
      </c>
      <c r="AO77" s="259">
        <v>-90</v>
      </c>
      <c r="AP77" s="214">
        <v>-90</v>
      </c>
      <c r="AQ77" s="214">
        <v>-97</v>
      </c>
      <c r="AR77" s="214"/>
      <c r="AS77" s="259"/>
    </row>
    <row r="78" spans="1:59" s="208" customFormat="1" x14ac:dyDescent="0.25">
      <c r="A78" s="225"/>
      <c r="B78" s="250" t="s">
        <v>68</v>
      </c>
      <c r="C78" s="210">
        <v>-4.5999999999999996</v>
      </c>
      <c r="D78" s="221">
        <f>-59.6+53.2</f>
        <v>-6.3999999999999986</v>
      </c>
      <c r="E78" s="227">
        <f>-4.1-0.4+192.6-0.1</f>
        <v>188</v>
      </c>
      <c r="F78" s="225">
        <f>-72.3+116.2</f>
        <v>43.900000000000006</v>
      </c>
      <c r="G78" s="221">
        <f>-24.8+20.8</f>
        <v>-4</v>
      </c>
      <c r="H78" s="221">
        <v>-10.3</v>
      </c>
      <c r="I78" s="222">
        <v>-7.5</v>
      </c>
      <c r="J78" s="210">
        <v>-6.9</v>
      </c>
      <c r="K78" s="221">
        <v>-6.4</v>
      </c>
      <c r="L78" s="221">
        <v>-4.5999999999999996</v>
      </c>
      <c r="M78" s="221">
        <v>-10.9</v>
      </c>
      <c r="N78" s="210">
        <f>-5.3-6.7</f>
        <v>-12</v>
      </c>
      <c r="O78" s="221">
        <f>-8+0.7-6.3-87.4-18.9+0.1</f>
        <v>-119.80000000000001</v>
      </c>
      <c r="P78" s="221">
        <f>-35.8-8.6</f>
        <v>-44.4</v>
      </c>
      <c r="Q78" s="221">
        <v>-16.100000000000001</v>
      </c>
      <c r="R78" s="213">
        <v>-22</v>
      </c>
      <c r="S78" s="214">
        <v>-3</v>
      </c>
      <c r="T78" s="214">
        <v>-17</v>
      </c>
      <c r="U78" s="259">
        <v>-43</v>
      </c>
      <c r="V78" s="213">
        <v>-19</v>
      </c>
      <c r="W78" s="214">
        <v>-2</v>
      </c>
      <c r="X78" s="214">
        <v>-24</v>
      </c>
      <c r="Y78" s="259">
        <v>-32</v>
      </c>
      <c r="Z78" s="213">
        <v>-88</v>
      </c>
      <c r="AA78" s="214">
        <v>-257</v>
      </c>
      <c r="AB78" s="214">
        <v>-90</v>
      </c>
      <c r="AC78" s="259">
        <v>-18</v>
      </c>
      <c r="AD78" s="214">
        <v>-49</v>
      </c>
      <c r="AE78" s="214">
        <v>-154</v>
      </c>
      <c r="AF78" s="214">
        <v>-5</v>
      </c>
      <c r="AG78" s="259">
        <v>-2304</v>
      </c>
      <c r="AH78" s="214">
        <v>-72</v>
      </c>
      <c r="AI78" s="214">
        <v>-54</v>
      </c>
      <c r="AJ78" s="214">
        <v>-13</v>
      </c>
      <c r="AK78" s="259">
        <v>-59</v>
      </c>
      <c r="AL78" s="214">
        <v>-28</v>
      </c>
      <c r="AM78" s="214">
        <v>-616</v>
      </c>
      <c r="AN78" s="214">
        <v>-22</v>
      </c>
      <c r="AO78" s="259">
        <v>-13</v>
      </c>
      <c r="AP78" s="214">
        <v>-20</v>
      </c>
      <c r="AQ78" s="214">
        <v>762</v>
      </c>
      <c r="AR78" s="214"/>
      <c r="AS78" s="259"/>
    </row>
    <row r="79" spans="1:59" s="208" customFormat="1" x14ac:dyDescent="0.25">
      <c r="A79" s="225"/>
      <c r="B79" s="250" t="s">
        <v>179</v>
      </c>
      <c r="C79" s="210">
        <v>-27.1</v>
      </c>
      <c r="D79" s="221">
        <v>-27.3</v>
      </c>
      <c r="E79" s="222">
        <f>-28.4-0.1</f>
        <v>-28.5</v>
      </c>
      <c r="F79" s="210">
        <v>-20.3</v>
      </c>
      <c r="G79" s="221">
        <v>-13.8</v>
      </c>
      <c r="H79" s="221">
        <v>-10.8</v>
      </c>
      <c r="I79" s="222">
        <v>-15.5</v>
      </c>
      <c r="J79" s="210">
        <v>-13.2</v>
      </c>
      <c r="K79" s="221">
        <v>-15.7</v>
      </c>
      <c r="L79" s="221">
        <v>-13.9</v>
      </c>
      <c r="M79" s="221">
        <v>-14.8</v>
      </c>
      <c r="N79" s="210">
        <v>-17.100000000000001</v>
      </c>
      <c r="O79" s="221">
        <v>-20.6</v>
      </c>
      <c r="P79" s="221">
        <v>-14.9</v>
      </c>
      <c r="Q79" s="221">
        <v>-24.5</v>
      </c>
      <c r="R79" s="213">
        <v>-31</v>
      </c>
      <c r="S79" s="214">
        <v>-18</v>
      </c>
      <c r="T79" s="214">
        <v>-31</v>
      </c>
      <c r="U79" s="259">
        <v>-56</v>
      </c>
      <c r="V79" s="213">
        <v>-44</v>
      </c>
      <c r="W79" s="214">
        <v>-50</v>
      </c>
      <c r="X79" s="214">
        <v>-42</v>
      </c>
      <c r="Y79" s="259">
        <v>-23</v>
      </c>
      <c r="Z79" s="213">
        <v>-31</v>
      </c>
      <c r="AA79" s="214">
        <v>-39</v>
      </c>
      <c r="AB79" s="214">
        <v>-26</v>
      </c>
      <c r="AC79" s="259">
        <v>-31</v>
      </c>
      <c r="AD79" s="214">
        <v>-32</v>
      </c>
      <c r="AE79" s="214">
        <v>-43</v>
      </c>
      <c r="AF79" s="214">
        <v>-29</v>
      </c>
      <c r="AG79" s="259">
        <v>-29</v>
      </c>
      <c r="AH79" s="214">
        <v>-31</v>
      </c>
      <c r="AI79" s="214">
        <v>-33</v>
      </c>
      <c r="AJ79" s="214">
        <v>-36</v>
      </c>
      <c r="AK79" s="259">
        <v>-32</v>
      </c>
      <c r="AL79" s="214">
        <v>-22</v>
      </c>
      <c r="AM79" s="214">
        <v>-23</v>
      </c>
      <c r="AN79" s="214">
        <v>-51</v>
      </c>
      <c r="AO79" s="259">
        <v>-59</v>
      </c>
      <c r="AP79" s="214">
        <v>-51</v>
      </c>
      <c r="AQ79" s="214">
        <v>-72</v>
      </c>
      <c r="AR79" s="214"/>
      <c r="AS79" s="259"/>
    </row>
    <row r="80" spans="1:59" s="208" customFormat="1" x14ac:dyDescent="0.25">
      <c r="A80" s="225"/>
      <c r="B80" s="250" t="s">
        <v>69</v>
      </c>
      <c r="C80" s="210">
        <v>2.5</v>
      </c>
      <c r="D80" s="221">
        <v>-17.100000000000001</v>
      </c>
      <c r="E80" s="227">
        <f>5-0.1</f>
        <v>4.9000000000000004</v>
      </c>
      <c r="F80" s="210">
        <v>-17.899999999999999</v>
      </c>
      <c r="G80" s="208">
        <v>0.1</v>
      </c>
      <c r="H80" s="221">
        <v>-7.8</v>
      </c>
      <c r="I80" s="222">
        <v>-36.6</v>
      </c>
      <c r="J80" s="210">
        <v>-31.6</v>
      </c>
      <c r="K80" s="221">
        <v>-33.1</v>
      </c>
      <c r="L80" s="221">
        <v>-37.4</v>
      </c>
      <c r="M80" s="221">
        <v>-31.3</v>
      </c>
      <c r="N80" s="210">
        <v>-22.1</v>
      </c>
      <c r="O80" s="221">
        <v>-26.4</v>
      </c>
      <c r="P80" s="221">
        <v>-23.5</v>
      </c>
      <c r="Q80" s="221">
        <v>-69.2</v>
      </c>
      <c r="R80" s="213">
        <v>-107</v>
      </c>
      <c r="S80" s="214">
        <v>-66</v>
      </c>
      <c r="T80" s="214">
        <v>-119</v>
      </c>
      <c r="U80" s="431">
        <v>-200</v>
      </c>
      <c r="V80" s="361">
        <v>-216</v>
      </c>
      <c r="W80" s="214">
        <v>-209</v>
      </c>
      <c r="X80" s="214">
        <v>-122</v>
      </c>
      <c r="Y80" s="259">
        <v>-44</v>
      </c>
      <c r="Z80" s="361">
        <v>-110</v>
      </c>
      <c r="AA80" s="214">
        <v>-110</v>
      </c>
      <c r="AB80" s="214">
        <v>-36</v>
      </c>
      <c r="AC80" s="259">
        <v>-89</v>
      </c>
      <c r="AD80" s="214">
        <v>-59</v>
      </c>
      <c r="AE80" s="214">
        <v>4</v>
      </c>
      <c r="AF80" s="214">
        <v>31</v>
      </c>
      <c r="AG80" s="259">
        <v>435</v>
      </c>
      <c r="AH80" s="214">
        <v>16</v>
      </c>
      <c r="AI80" s="214">
        <v>-10</v>
      </c>
      <c r="AJ80" s="214">
        <v>-2</v>
      </c>
      <c r="AK80" s="259">
        <v>-60</v>
      </c>
      <c r="AL80" s="214">
        <v>22</v>
      </c>
      <c r="AM80" s="214">
        <v>81</v>
      </c>
      <c r="AN80" s="214">
        <v>-85</v>
      </c>
      <c r="AO80" s="259">
        <v>-66</v>
      </c>
      <c r="AP80" s="214">
        <v>-175</v>
      </c>
      <c r="AQ80" s="214">
        <v>-352</v>
      </c>
      <c r="AR80" s="214"/>
      <c r="AS80" s="259"/>
    </row>
    <row r="81" spans="1:59" s="1" customFormat="1" ht="15.75" thickBot="1" x14ac:dyDescent="0.3">
      <c r="A81" s="306"/>
      <c r="B81" s="303" t="s">
        <v>70</v>
      </c>
      <c r="C81" s="145">
        <f t="shared" ref="C81:I81" si="141">SUM(C76:C80)</f>
        <v>-28.999999999999986</v>
      </c>
      <c r="D81" s="146">
        <f t="shared" si="141"/>
        <v>8.800000000000022</v>
      </c>
      <c r="E81" s="147">
        <f t="shared" si="141"/>
        <v>135.1</v>
      </c>
      <c r="F81" s="145">
        <f t="shared" si="141"/>
        <v>78.000000000000028</v>
      </c>
      <c r="G81" s="146">
        <f t="shared" si="141"/>
        <v>7.1000000000000103</v>
      </c>
      <c r="H81" s="146">
        <f t="shared" si="141"/>
        <v>7.5999999999999774</v>
      </c>
      <c r="I81" s="147">
        <f t="shared" si="141"/>
        <v>82.19999999999996</v>
      </c>
      <c r="J81" s="145">
        <f t="shared" ref="J81:Q81" si="142">SUM(J76:J80)</f>
        <v>97.4</v>
      </c>
      <c r="K81" s="146">
        <f t="shared" si="142"/>
        <v>38.000000000000007</v>
      </c>
      <c r="L81" s="146">
        <f t="shared" si="142"/>
        <v>12.300000000000033</v>
      </c>
      <c r="M81" s="146">
        <f t="shared" si="142"/>
        <v>62.599999999999994</v>
      </c>
      <c r="N81" s="145">
        <f t="shared" si="142"/>
        <v>89.700000000000017</v>
      </c>
      <c r="O81" s="146">
        <f t="shared" si="142"/>
        <v>18.299999999999955</v>
      </c>
      <c r="P81" s="146">
        <f t="shared" si="142"/>
        <v>29.499999999999979</v>
      </c>
      <c r="Q81" s="146">
        <f t="shared" si="142"/>
        <v>239.50000000000006</v>
      </c>
      <c r="R81" s="427">
        <f t="shared" ref="R81:S81" si="143">SUM(R76:R80)</f>
        <v>325</v>
      </c>
      <c r="S81" s="428">
        <f t="shared" si="143"/>
        <v>-26</v>
      </c>
      <c r="T81" s="428">
        <f t="shared" ref="T81:U81" si="144">SUM(T76:T80)</f>
        <v>303</v>
      </c>
      <c r="U81" s="428">
        <f t="shared" si="144"/>
        <v>697</v>
      </c>
      <c r="V81" s="427">
        <f t="shared" ref="V81:W81" si="145">SUM(V76:V80)</f>
        <v>588</v>
      </c>
      <c r="W81" s="428">
        <f t="shared" si="145"/>
        <v>685</v>
      </c>
      <c r="X81" s="428">
        <f t="shared" ref="X81:AA81" si="146">SUM(X76:X80)</f>
        <v>287</v>
      </c>
      <c r="Y81" s="471">
        <f t="shared" si="146"/>
        <v>144</v>
      </c>
      <c r="Z81" s="427">
        <f t="shared" si="146"/>
        <v>303</v>
      </c>
      <c r="AA81" s="428">
        <f t="shared" si="146"/>
        <v>357</v>
      </c>
      <c r="AB81" s="428">
        <f t="shared" ref="AB81:AE81" si="147">SUM(AB76:AB80)</f>
        <v>56</v>
      </c>
      <c r="AC81" s="471">
        <f t="shared" si="147"/>
        <v>346</v>
      </c>
      <c r="AD81" s="427">
        <f t="shared" si="147"/>
        <v>133</v>
      </c>
      <c r="AE81" s="555">
        <f t="shared" si="147"/>
        <v>-26</v>
      </c>
      <c r="AF81" s="555">
        <f t="shared" ref="AF81:AI81" si="148">SUM(AF76:AF80)</f>
        <v>-130</v>
      </c>
      <c r="AG81" s="563">
        <f t="shared" si="148"/>
        <v>-1879</v>
      </c>
      <c r="AH81" s="588">
        <f t="shared" si="148"/>
        <v>-68</v>
      </c>
      <c r="AI81" s="555">
        <f t="shared" si="148"/>
        <v>21</v>
      </c>
      <c r="AJ81" s="555">
        <f t="shared" ref="AJ81:AO81" si="149">SUM(AJ76:AJ80)</f>
        <v>-18</v>
      </c>
      <c r="AK81" s="563">
        <f t="shared" si="149"/>
        <v>-34</v>
      </c>
      <c r="AL81" s="588">
        <f t="shared" si="149"/>
        <v>-97</v>
      </c>
      <c r="AM81" s="555">
        <f t="shared" si="149"/>
        <v>-625</v>
      </c>
      <c r="AN81" s="555">
        <f t="shared" si="149"/>
        <v>157</v>
      </c>
      <c r="AO81" s="563">
        <f t="shared" si="149"/>
        <v>353</v>
      </c>
      <c r="AP81" s="588">
        <f t="shared" ref="AP81:AS81" si="150">SUM(AP76:AP80)</f>
        <v>414</v>
      </c>
      <c r="AQ81" s="555">
        <f t="shared" si="150"/>
        <v>805</v>
      </c>
      <c r="AR81" s="555">
        <f t="shared" si="150"/>
        <v>0</v>
      </c>
      <c r="AS81" s="563">
        <f t="shared" si="150"/>
        <v>0</v>
      </c>
      <c r="AT81" s="347"/>
      <c r="AU81" s="347"/>
      <c r="AV81" s="347"/>
      <c r="AW81" s="347"/>
      <c r="AX81" s="347"/>
      <c r="AY81" s="347"/>
      <c r="AZ81" s="347"/>
      <c r="BA81" s="347"/>
      <c r="BB81" s="347"/>
      <c r="BC81" s="347"/>
      <c r="BD81" s="347"/>
      <c r="BE81" s="347"/>
      <c r="BF81" s="347"/>
      <c r="BG81" s="347"/>
    </row>
    <row r="82" spans="1:59" s="208" customFormat="1" ht="15.75" thickTop="1" x14ac:dyDescent="0.25">
      <c r="A82" s="225"/>
      <c r="B82" s="250"/>
      <c r="C82" s="210"/>
      <c r="E82" s="227"/>
      <c r="F82" s="225"/>
      <c r="I82" s="227"/>
      <c r="J82" s="225"/>
      <c r="N82" s="225"/>
      <c r="R82" s="225"/>
      <c r="V82" s="225"/>
      <c r="Y82" s="227"/>
      <c r="Z82" s="225"/>
      <c r="AC82" s="227"/>
      <c r="AD82" s="225"/>
      <c r="AG82" s="227"/>
      <c r="AH82" s="225"/>
      <c r="AK82" s="227"/>
      <c r="AL82" s="225"/>
      <c r="AO82" s="227"/>
      <c r="AP82" s="225"/>
      <c r="AS82" s="227"/>
    </row>
    <row r="83" spans="1:59" s="208" customFormat="1" x14ac:dyDescent="0.25">
      <c r="A83" s="225"/>
      <c r="B83" s="292" t="s">
        <v>134</v>
      </c>
      <c r="C83" s="213"/>
      <c r="E83" s="227"/>
      <c r="F83" s="225"/>
      <c r="I83" s="227"/>
      <c r="J83" s="225"/>
      <c r="N83" s="225"/>
      <c r="R83" s="225"/>
      <c r="V83" s="225"/>
      <c r="Y83" s="227"/>
      <c r="Z83" s="225"/>
      <c r="AC83" s="227"/>
      <c r="AD83" s="225"/>
      <c r="AG83" s="227"/>
      <c r="AH83" s="225"/>
      <c r="AK83" s="227"/>
      <c r="AL83" s="225"/>
      <c r="AO83" s="227"/>
      <c r="AP83" s="225"/>
      <c r="AS83" s="227"/>
    </row>
    <row r="84" spans="1:59" s="208" customFormat="1" x14ac:dyDescent="0.25">
      <c r="A84" s="225"/>
      <c r="B84" s="227" t="s">
        <v>59</v>
      </c>
      <c r="C84" s="210"/>
      <c r="E84" s="227"/>
      <c r="F84" s="225"/>
      <c r="I84" s="227"/>
      <c r="J84" s="225"/>
      <c r="N84" s="225"/>
      <c r="R84" s="225"/>
      <c r="V84" s="225"/>
      <c r="Y84" s="227"/>
      <c r="Z84" s="225"/>
      <c r="AC84" s="227"/>
      <c r="AD84" s="225"/>
      <c r="AG84" s="227"/>
      <c r="AH84" s="225"/>
      <c r="AK84" s="227"/>
      <c r="AL84" s="225"/>
      <c r="AO84" s="227"/>
      <c r="AP84" s="225"/>
      <c r="AS84" s="227"/>
    </row>
    <row r="85" spans="1:59" s="208" customFormat="1" x14ac:dyDescent="0.25">
      <c r="A85" s="225"/>
      <c r="B85" s="227" t="s">
        <v>61</v>
      </c>
      <c r="C85" s="210">
        <v>60.7</v>
      </c>
      <c r="D85" s="208">
        <v>45.7</v>
      </c>
      <c r="E85" s="227">
        <v>53.4</v>
      </c>
      <c r="F85" s="225">
        <v>55.3</v>
      </c>
      <c r="G85" s="208">
        <v>49.3</v>
      </c>
      <c r="H85" s="208">
        <v>53.6</v>
      </c>
      <c r="I85" s="227">
        <v>64.3</v>
      </c>
      <c r="J85" s="288">
        <v>72.3</v>
      </c>
      <c r="K85" s="243">
        <v>88.7</v>
      </c>
      <c r="L85" s="243">
        <v>98.9</v>
      </c>
      <c r="M85" s="243">
        <v>81.099999999999994</v>
      </c>
      <c r="N85" s="289">
        <v>72.5</v>
      </c>
      <c r="O85" s="277">
        <v>93.1</v>
      </c>
      <c r="P85" s="277">
        <v>72.900000000000006</v>
      </c>
      <c r="Q85" s="277">
        <v>104.7</v>
      </c>
      <c r="R85" s="433">
        <v>77</v>
      </c>
      <c r="S85" s="346">
        <v>78</v>
      </c>
      <c r="T85" s="346">
        <v>130</v>
      </c>
      <c r="U85" s="346">
        <v>129</v>
      </c>
      <c r="V85" s="433">
        <v>114</v>
      </c>
      <c r="W85" s="346">
        <v>86</v>
      </c>
      <c r="X85" s="346">
        <v>118</v>
      </c>
      <c r="Y85" s="448">
        <v>181</v>
      </c>
      <c r="Z85" s="433">
        <v>113</v>
      </c>
      <c r="AA85" s="346">
        <v>181</v>
      </c>
      <c r="AB85" s="346">
        <v>258</v>
      </c>
      <c r="AC85" s="448">
        <v>313</v>
      </c>
      <c r="AD85" s="433">
        <v>237</v>
      </c>
      <c r="AE85" s="346">
        <v>273</v>
      </c>
      <c r="AF85" s="346">
        <v>266</v>
      </c>
      <c r="AG85" s="448">
        <v>281</v>
      </c>
      <c r="AH85" s="433">
        <v>170</v>
      </c>
      <c r="AI85" s="346">
        <v>122</v>
      </c>
      <c r="AJ85" s="346">
        <v>129</v>
      </c>
      <c r="AK85" s="448">
        <v>127</v>
      </c>
      <c r="AL85" s="433">
        <v>84</v>
      </c>
      <c r="AM85" s="346">
        <v>76</v>
      </c>
      <c r="AN85" s="346">
        <v>75</v>
      </c>
      <c r="AO85" s="448">
        <v>124</v>
      </c>
      <c r="AP85" s="433">
        <v>113</v>
      </c>
      <c r="AQ85" s="346">
        <v>132</v>
      </c>
      <c r="AR85" s="346"/>
      <c r="AS85" s="448"/>
    </row>
    <row r="86" spans="1:59" s="208" customFormat="1" x14ac:dyDescent="0.25">
      <c r="A86" s="225"/>
      <c r="B86" s="227" t="s">
        <v>63</v>
      </c>
      <c r="C86" s="210"/>
      <c r="E86" s="227"/>
      <c r="F86" s="225"/>
      <c r="I86" s="227"/>
      <c r="J86" s="225"/>
      <c r="N86" s="225"/>
      <c r="R86" s="438"/>
      <c r="S86" s="344"/>
      <c r="T86" s="344"/>
      <c r="U86" s="344"/>
      <c r="V86" s="438"/>
      <c r="W86" s="344"/>
      <c r="X86" s="344"/>
      <c r="Y86" s="474"/>
      <c r="Z86" s="438"/>
      <c r="AA86" s="344"/>
      <c r="AB86" s="344"/>
      <c r="AC86" s="474"/>
      <c r="AD86" s="438"/>
      <c r="AE86" s="344"/>
      <c r="AF86" s="344"/>
      <c r="AG86" s="474"/>
      <c r="AH86" s="438"/>
      <c r="AI86" s="344"/>
      <c r="AJ86" s="344"/>
      <c r="AK86" s="474"/>
      <c r="AL86" s="438"/>
      <c r="AM86" s="344"/>
      <c r="AN86" s="344"/>
      <c r="AO86" s="474"/>
      <c r="AP86" s="438"/>
      <c r="AQ86" s="344"/>
      <c r="AR86" s="344"/>
      <c r="AS86" s="474"/>
    </row>
    <row r="87" spans="1:59" s="1" customFormat="1" x14ac:dyDescent="0.25">
      <c r="A87" s="306"/>
      <c r="B87" s="290" t="s">
        <v>64</v>
      </c>
      <c r="C87" s="152">
        <f>+C86+C85+C84</f>
        <v>60.7</v>
      </c>
      <c r="D87" s="153">
        <f t="shared" ref="D87:I87" si="151">+D86+D85+D84</f>
        <v>45.7</v>
      </c>
      <c r="E87" s="154">
        <f t="shared" si="151"/>
        <v>53.4</v>
      </c>
      <c r="F87" s="152">
        <f t="shared" si="151"/>
        <v>55.3</v>
      </c>
      <c r="G87" s="153">
        <f t="shared" si="151"/>
        <v>49.3</v>
      </c>
      <c r="H87" s="153">
        <f t="shared" si="151"/>
        <v>53.6</v>
      </c>
      <c r="I87" s="154">
        <f t="shared" si="151"/>
        <v>64.3</v>
      </c>
      <c r="J87" s="152">
        <f t="shared" ref="J87:Q87" si="152">+J86+J85+J84</f>
        <v>72.3</v>
      </c>
      <c r="K87" s="153">
        <f t="shared" si="152"/>
        <v>88.7</v>
      </c>
      <c r="L87" s="153">
        <f t="shared" si="152"/>
        <v>98.9</v>
      </c>
      <c r="M87" s="153">
        <f t="shared" si="152"/>
        <v>81.099999999999994</v>
      </c>
      <c r="N87" s="152">
        <f t="shared" si="152"/>
        <v>72.5</v>
      </c>
      <c r="O87" s="153">
        <f t="shared" si="152"/>
        <v>93.1</v>
      </c>
      <c r="P87" s="153">
        <f t="shared" si="152"/>
        <v>72.900000000000006</v>
      </c>
      <c r="Q87" s="153">
        <f t="shared" si="152"/>
        <v>104.7</v>
      </c>
      <c r="R87" s="439">
        <f t="shared" ref="R87:S87" si="153">+R86+R85+R84</f>
        <v>77</v>
      </c>
      <c r="S87" s="440">
        <f t="shared" si="153"/>
        <v>78</v>
      </c>
      <c r="T87" s="440">
        <f t="shared" ref="T87:U87" si="154">+T86+T85+T84</f>
        <v>130</v>
      </c>
      <c r="U87" s="440">
        <f t="shared" si="154"/>
        <v>129</v>
      </c>
      <c r="V87" s="439">
        <f t="shared" ref="V87:W87" si="155">+V86+V85+V84</f>
        <v>114</v>
      </c>
      <c r="W87" s="440">
        <f t="shared" si="155"/>
        <v>86</v>
      </c>
      <c r="X87" s="440">
        <f t="shared" ref="X87:AA87" si="156">+X86+X85+X84</f>
        <v>118</v>
      </c>
      <c r="Y87" s="460">
        <f t="shared" si="156"/>
        <v>181</v>
      </c>
      <c r="Z87" s="439">
        <f t="shared" si="156"/>
        <v>113</v>
      </c>
      <c r="AA87" s="440">
        <f t="shared" si="156"/>
        <v>181</v>
      </c>
      <c r="AB87" s="440">
        <f t="shared" ref="AB87:AE87" si="157">+AB86+AB85+AB84</f>
        <v>258</v>
      </c>
      <c r="AC87" s="460">
        <f t="shared" si="157"/>
        <v>313</v>
      </c>
      <c r="AD87" s="439">
        <f t="shared" si="157"/>
        <v>237</v>
      </c>
      <c r="AE87" s="440">
        <f t="shared" si="157"/>
        <v>273</v>
      </c>
      <c r="AF87" s="440">
        <f t="shared" ref="AF87:AI87" si="158">+AF86+AF85+AF84</f>
        <v>266</v>
      </c>
      <c r="AG87" s="460">
        <f t="shared" si="158"/>
        <v>281</v>
      </c>
      <c r="AH87" s="439">
        <f t="shared" si="158"/>
        <v>170</v>
      </c>
      <c r="AI87" s="440">
        <f t="shared" si="158"/>
        <v>122</v>
      </c>
      <c r="AJ87" s="440">
        <f t="shared" ref="AJ87:AO87" si="159">+AJ86+AJ85+AJ84</f>
        <v>129</v>
      </c>
      <c r="AK87" s="460">
        <f t="shared" si="159"/>
        <v>127</v>
      </c>
      <c r="AL87" s="439">
        <f t="shared" si="159"/>
        <v>84</v>
      </c>
      <c r="AM87" s="440">
        <f t="shared" si="159"/>
        <v>76</v>
      </c>
      <c r="AN87" s="440">
        <f t="shared" si="159"/>
        <v>75</v>
      </c>
      <c r="AO87" s="460">
        <f t="shared" si="159"/>
        <v>124</v>
      </c>
      <c r="AP87" s="439">
        <f t="shared" ref="AP87:AS87" si="160">+AP86+AP85+AP84</f>
        <v>113</v>
      </c>
      <c r="AQ87" s="440">
        <f t="shared" si="160"/>
        <v>132</v>
      </c>
      <c r="AR87" s="440">
        <f t="shared" si="160"/>
        <v>0</v>
      </c>
      <c r="AS87" s="460">
        <f t="shared" si="160"/>
        <v>0</v>
      </c>
      <c r="AT87" s="347"/>
      <c r="AU87" s="347"/>
      <c r="AV87" s="347"/>
      <c r="AW87" s="347"/>
      <c r="AX87" s="347"/>
      <c r="AY87" s="347"/>
      <c r="AZ87" s="347"/>
      <c r="BA87" s="347"/>
      <c r="BB87" s="347"/>
      <c r="BC87" s="347"/>
      <c r="BD87" s="347"/>
      <c r="BE87" s="347"/>
      <c r="BF87" s="347"/>
      <c r="BG87" s="347"/>
    </row>
    <row r="88" spans="1:59" s="208" customFormat="1" x14ac:dyDescent="0.25">
      <c r="A88" s="225"/>
      <c r="B88" s="250"/>
      <c r="C88" s="210"/>
      <c r="E88" s="227"/>
      <c r="F88" s="225"/>
      <c r="I88" s="227"/>
      <c r="J88" s="225"/>
      <c r="N88" s="225"/>
      <c r="R88" s="225"/>
      <c r="V88" s="225"/>
      <c r="Y88" s="227"/>
      <c r="Z88" s="225"/>
      <c r="AC88" s="227"/>
      <c r="AD88" s="225"/>
      <c r="AG88" s="227"/>
      <c r="AH88" s="225"/>
      <c r="AK88" s="227"/>
      <c r="AL88" s="225"/>
      <c r="AO88" s="227"/>
      <c r="AP88" s="225"/>
      <c r="AS88" s="227"/>
    </row>
    <row r="89" spans="1:59" s="208" customFormat="1" ht="15.75" x14ac:dyDescent="0.25">
      <c r="A89" s="225"/>
      <c r="B89" s="328"/>
      <c r="C89" s="213"/>
      <c r="E89" s="227"/>
      <c r="F89" s="225"/>
      <c r="I89" s="227"/>
      <c r="J89" s="225"/>
      <c r="N89" s="225"/>
      <c r="R89" s="225"/>
      <c r="V89" s="225"/>
      <c r="Y89" s="227"/>
      <c r="Z89" s="225"/>
      <c r="AC89" s="227"/>
      <c r="AD89" s="225"/>
      <c r="AG89" s="227"/>
      <c r="AH89" s="225"/>
      <c r="AK89" s="227"/>
      <c r="AL89" s="225"/>
      <c r="AO89" s="227"/>
      <c r="AP89" s="225"/>
      <c r="AS89" s="227"/>
    </row>
    <row r="90" spans="1:59" s="208" customFormat="1" x14ac:dyDescent="0.25">
      <c r="A90" s="225"/>
      <c r="B90" s="292" t="s">
        <v>71</v>
      </c>
      <c r="C90" s="213"/>
      <c r="E90" s="227"/>
      <c r="F90" s="225"/>
      <c r="I90" s="227"/>
      <c r="J90" s="225"/>
      <c r="N90" s="225"/>
      <c r="R90" s="225"/>
      <c r="V90" s="225"/>
      <c r="Y90" s="227"/>
      <c r="Z90" s="225"/>
      <c r="AC90" s="227"/>
      <c r="AD90" s="225"/>
      <c r="AG90" s="227"/>
      <c r="AH90" s="225"/>
      <c r="AK90" s="227"/>
      <c r="AL90" s="225"/>
      <c r="AO90" s="227"/>
      <c r="AP90" s="225"/>
      <c r="AS90" s="227"/>
    </row>
    <row r="91" spans="1:59" s="208" customFormat="1" x14ac:dyDescent="0.25">
      <c r="A91" s="225"/>
      <c r="B91" s="227" t="s">
        <v>101</v>
      </c>
      <c r="C91" s="274">
        <v>12313</v>
      </c>
      <c r="D91" s="355">
        <v>12252</v>
      </c>
      <c r="E91" s="362">
        <v>12228</v>
      </c>
      <c r="F91" s="363">
        <v>12085</v>
      </c>
      <c r="G91" s="355">
        <v>12071</v>
      </c>
      <c r="H91" s="355">
        <v>12650</v>
      </c>
      <c r="I91" s="362">
        <v>13586</v>
      </c>
      <c r="J91" s="211">
        <v>12655</v>
      </c>
      <c r="K91" s="242">
        <v>12814</v>
      </c>
      <c r="L91" s="242">
        <v>13532</v>
      </c>
      <c r="M91" s="242">
        <v>15053</v>
      </c>
      <c r="N91" s="211">
        <v>16453</v>
      </c>
      <c r="O91" s="242">
        <v>16943</v>
      </c>
      <c r="P91" s="242">
        <v>19326</v>
      </c>
      <c r="Q91" s="242">
        <v>21950</v>
      </c>
      <c r="R91" s="211">
        <v>28924</v>
      </c>
      <c r="S91" s="242">
        <v>28878</v>
      </c>
      <c r="T91" s="242">
        <v>31936</v>
      </c>
      <c r="U91" s="242">
        <v>33237</v>
      </c>
      <c r="V91" s="211">
        <v>38383</v>
      </c>
      <c r="W91" s="242">
        <v>39857</v>
      </c>
      <c r="X91" s="242">
        <v>33392</v>
      </c>
      <c r="Y91" s="407">
        <v>30074</v>
      </c>
      <c r="Z91" s="211">
        <v>34514</v>
      </c>
      <c r="AA91" s="242">
        <v>32363</v>
      </c>
      <c r="AB91" s="242">
        <v>33412</v>
      </c>
      <c r="AC91" s="407">
        <v>33279</v>
      </c>
      <c r="AD91" s="211">
        <v>30406</v>
      </c>
      <c r="AE91" s="242">
        <v>27972</v>
      </c>
      <c r="AF91" s="242">
        <v>23343</v>
      </c>
      <c r="AG91" s="407">
        <v>22311</v>
      </c>
      <c r="AH91" s="211">
        <v>21869</v>
      </c>
      <c r="AI91" s="242">
        <v>22658</v>
      </c>
      <c r="AJ91" s="242">
        <v>21937</v>
      </c>
      <c r="AK91" s="407">
        <v>22403</v>
      </c>
      <c r="AL91" s="211">
        <v>23195</v>
      </c>
      <c r="AM91" s="242">
        <v>25152</v>
      </c>
      <c r="AN91" s="242">
        <v>29172</v>
      </c>
      <c r="AO91" s="407">
        <v>34539</v>
      </c>
      <c r="AP91" s="211">
        <v>42033</v>
      </c>
      <c r="AQ91" s="242">
        <v>36473</v>
      </c>
      <c r="AR91" s="242"/>
      <c r="AS91" s="407"/>
    </row>
    <row r="92" spans="1:59" s="208" customFormat="1" x14ac:dyDescent="0.25">
      <c r="A92" s="225"/>
      <c r="B92" s="227" t="s">
        <v>102</v>
      </c>
      <c r="C92" s="274">
        <v>822</v>
      </c>
      <c r="D92" s="355">
        <v>871</v>
      </c>
      <c r="E92" s="362">
        <v>881</v>
      </c>
      <c r="F92" s="363">
        <v>915</v>
      </c>
      <c r="G92" s="355">
        <v>914</v>
      </c>
      <c r="H92" s="355">
        <v>960</v>
      </c>
      <c r="I92" s="362">
        <v>997</v>
      </c>
      <c r="J92" s="211">
        <v>1058</v>
      </c>
      <c r="K92" s="242">
        <v>1013</v>
      </c>
      <c r="L92" s="242">
        <v>963</v>
      </c>
      <c r="M92" s="242">
        <f t="shared" ref="M92:R92" si="161">M91/M101</f>
        <v>1051.9217330538086</v>
      </c>
      <c r="N92" s="211">
        <f t="shared" si="161"/>
        <v>1174.3754461099215</v>
      </c>
      <c r="O92" s="242">
        <f t="shared" si="161"/>
        <v>1177.4148714384989</v>
      </c>
      <c r="P92" s="242">
        <f t="shared" si="161"/>
        <v>1317.3824130879345</v>
      </c>
      <c r="Q92" s="242">
        <f t="shared" si="161"/>
        <v>1491.1684782608695</v>
      </c>
      <c r="R92" s="211">
        <f t="shared" si="161"/>
        <v>1880.6241872561768</v>
      </c>
      <c r="S92" s="242">
        <f t="shared" ref="S92:T92" si="162">S91/S101</f>
        <v>1608.8022284122562</v>
      </c>
      <c r="T92" s="242">
        <f t="shared" si="162"/>
        <v>1888.5866351271436</v>
      </c>
      <c r="U92" s="242">
        <f t="shared" ref="U92:W92" si="163">U91/U101</f>
        <v>2129.2120435618194</v>
      </c>
      <c r="V92" s="211">
        <f t="shared" si="163"/>
        <v>2565.7085561497324</v>
      </c>
      <c r="W92" s="242">
        <f t="shared" si="163"/>
        <v>2820.7360226468504</v>
      </c>
      <c r="X92" s="242">
        <f t="shared" ref="X92:AA92" si="164">X91/X101</f>
        <v>2282.4333561175667</v>
      </c>
      <c r="Y92" s="407">
        <f t="shared" si="164"/>
        <v>1950.3242542153048</v>
      </c>
      <c r="Z92" s="211">
        <f t="shared" si="164"/>
        <v>2267.6741130091982</v>
      </c>
      <c r="AA92" s="242">
        <f t="shared" si="164"/>
        <v>2075.8819756254011</v>
      </c>
      <c r="AB92" s="242">
        <f t="shared" ref="AB92:AE92" si="165">AB91/AB101</f>
        <v>1959.6480938416421</v>
      </c>
      <c r="AC92" s="407">
        <f t="shared" si="165"/>
        <v>1889.7785349233391</v>
      </c>
      <c r="AD92" s="211">
        <f t="shared" si="165"/>
        <v>1712.0495495495495</v>
      </c>
      <c r="AE92" s="242">
        <f t="shared" si="165"/>
        <v>1499.0353697749197</v>
      </c>
      <c r="AF92" s="242">
        <f t="shared" ref="AF92:AI92" si="166">AF91/AF101</f>
        <v>1255.6750941366327</v>
      </c>
      <c r="AG92" s="407">
        <f t="shared" si="166"/>
        <v>1196.3002680965149</v>
      </c>
      <c r="AH92" s="211">
        <f t="shared" si="166"/>
        <v>1159.5440084835632</v>
      </c>
      <c r="AI92" s="242">
        <f t="shared" si="166"/>
        <v>1220.1400107700592</v>
      </c>
      <c r="AJ92" s="242">
        <f t="shared" ref="AJ92:AO92" si="167">AJ91/AJ101</f>
        <v>1221.436525612472</v>
      </c>
      <c r="AK92" s="407">
        <f t="shared" si="167"/>
        <v>1252.9642058165548</v>
      </c>
      <c r="AL92" s="211">
        <f t="shared" si="167"/>
        <v>1255.1406926406926</v>
      </c>
      <c r="AM92" s="242">
        <f t="shared" si="167"/>
        <v>1375.1776927282669</v>
      </c>
      <c r="AN92" s="242">
        <f t="shared" si="167"/>
        <v>1653.7414965986395</v>
      </c>
      <c r="AO92" s="407">
        <f t="shared" si="167"/>
        <v>2018.6440677966102</v>
      </c>
      <c r="AP92" s="211">
        <f t="shared" ref="AP92:AS92" si="168">AP91/AP101</f>
        <v>2572.3990208078335</v>
      </c>
      <c r="AQ92" s="242">
        <f t="shared" si="168"/>
        <v>2213.1674757281553</v>
      </c>
      <c r="AR92" s="242" t="e">
        <f t="shared" si="168"/>
        <v>#DIV/0!</v>
      </c>
      <c r="AS92" s="407" t="e">
        <f t="shared" si="168"/>
        <v>#DIV/0!</v>
      </c>
    </row>
    <row r="93" spans="1:59" s="208" customFormat="1" x14ac:dyDescent="0.25">
      <c r="A93" s="225"/>
      <c r="B93" s="227" t="s">
        <v>107</v>
      </c>
      <c r="C93" s="274">
        <v>11482</v>
      </c>
      <c r="D93" s="355">
        <v>10179</v>
      </c>
      <c r="E93" s="362">
        <v>10103</v>
      </c>
      <c r="F93" s="363">
        <f t="shared" ref="F93:M93" si="169">-+F75/F66*1000000</f>
        <v>8920.7673060884063</v>
      </c>
      <c r="G93" s="355">
        <f t="shared" si="169"/>
        <v>11115.066010872379</v>
      </c>
      <c r="H93" s="355">
        <f t="shared" si="169"/>
        <v>8319.4160945135154</v>
      </c>
      <c r="I93" s="362">
        <f t="shared" si="169"/>
        <v>10361.990950226245</v>
      </c>
      <c r="J93" s="226">
        <f t="shared" si="169"/>
        <v>8619.7454237681923</v>
      </c>
      <c r="K93" s="242">
        <f t="shared" si="169"/>
        <v>10086.805015400889</v>
      </c>
      <c r="L93" s="242">
        <f t="shared" si="169"/>
        <v>10513.693080538</v>
      </c>
      <c r="M93" s="242">
        <f t="shared" si="169"/>
        <v>10409.843884137228</v>
      </c>
      <c r="N93" s="211">
        <v>11320</v>
      </c>
      <c r="O93" s="242">
        <f>-+O75/O66*1000000</f>
        <v>11256.619209182865</v>
      </c>
      <c r="P93" s="242">
        <v>12384</v>
      </c>
      <c r="Q93" s="242">
        <v>10690</v>
      </c>
      <c r="R93" s="211">
        <v>12288</v>
      </c>
      <c r="S93" s="242">
        <v>13659</v>
      </c>
      <c r="T93" s="242">
        <v>13800</v>
      </c>
      <c r="U93" s="242">
        <v>12958</v>
      </c>
      <c r="V93" s="211">
        <v>12233</v>
      </c>
      <c r="W93" s="242">
        <v>12875</v>
      </c>
      <c r="X93" s="242">
        <v>14355</v>
      </c>
      <c r="Y93" s="407">
        <v>14110</v>
      </c>
      <c r="Z93" s="211">
        <v>14585</v>
      </c>
      <c r="AA93" s="242">
        <v>15757</v>
      </c>
      <c r="AB93" s="242">
        <v>17719</v>
      </c>
      <c r="AC93" s="407">
        <v>18390</v>
      </c>
      <c r="AD93" s="211">
        <v>20420</v>
      </c>
      <c r="AE93" s="242">
        <v>19809</v>
      </c>
      <c r="AF93" s="242">
        <v>21886</v>
      </c>
      <c r="AG93" s="407">
        <v>20464</v>
      </c>
      <c r="AH93" s="211">
        <v>21013</v>
      </c>
      <c r="AI93" s="242">
        <v>19914</v>
      </c>
      <c r="AJ93" s="242">
        <v>20409</v>
      </c>
      <c r="AK93" s="407">
        <v>19924</v>
      </c>
      <c r="AL93" s="211">
        <v>19994</v>
      </c>
      <c r="AM93" s="242">
        <v>22308</v>
      </c>
      <c r="AN93" s="242">
        <v>23511</v>
      </c>
      <c r="AO93" s="407">
        <v>22141</v>
      </c>
      <c r="AP93" s="211">
        <v>20648</v>
      </c>
      <c r="AQ93" s="242">
        <v>23287</v>
      </c>
      <c r="AR93" s="242"/>
      <c r="AS93" s="407"/>
    </row>
    <row r="94" spans="1:59" s="208" customFormat="1" x14ac:dyDescent="0.25">
      <c r="A94" s="225"/>
      <c r="B94" s="227" t="s">
        <v>108</v>
      </c>
      <c r="C94" s="274">
        <v>766</v>
      </c>
      <c r="D94" s="355">
        <v>724</v>
      </c>
      <c r="E94" s="362">
        <v>728</v>
      </c>
      <c r="F94" s="363">
        <v>675</v>
      </c>
      <c r="G94" s="355">
        <v>842</v>
      </c>
      <c r="H94" s="355">
        <v>631</v>
      </c>
      <c r="I94" s="362">
        <v>760</v>
      </c>
      <c r="J94" s="211">
        <v>721</v>
      </c>
      <c r="K94" s="242">
        <v>797</v>
      </c>
      <c r="L94" s="242">
        <v>748</v>
      </c>
      <c r="M94" s="242">
        <f>M93/M101+1</f>
        <v>728.45240280483767</v>
      </c>
      <c r="N94" s="211">
        <f t="shared" ref="N94:S94" si="170">N93/N101</f>
        <v>807.99428979300501</v>
      </c>
      <c r="O94" s="242">
        <f t="shared" si="170"/>
        <v>782.25289848386831</v>
      </c>
      <c r="P94" s="242">
        <f t="shared" si="170"/>
        <v>844.17177914110425</v>
      </c>
      <c r="Q94" s="242">
        <f t="shared" si="170"/>
        <v>726.2228260869565</v>
      </c>
      <c r="R94" s="211">
        <f t="shared" si="170"/>
        <v>798.95968790637187</v>
      </c>
      <c r="S94" s="242">
        <f t="shared" si="170"/>
        <v>760.9470752089137</v>
      </c>
      <c r="T94" s="242">
        <f t="shared" ref="T94:U94" si="171">T93/T101</f>
        <v>816.08515671200473</v>
      </c>
      <c r="U94" s="242">
        <f t="shared" si="171"/>
        <v>830.10890454836647</v>
      </c>
      <c r="V94" s="211">
        <f t="shared" ref="V94:W94" si="172">V93/V101</f>
        <v>817.71390374331543</v>
      </c>
      <c r="W94" s="242">
        <f t="shared" si="172"/>
        <v>911.18188251946208</v>
      </c>
      <c r="X94" s="242">
        <f t="shared" ref="X94:AA94" si="173">X93/X101</f>
        <v>981.20300751879699</v>
      </c>
      <c r="Y94" s="407">
        <f t="shared" si="173"/>
        <v>915.04539559014268</v>
      </c>
      <c r="Z94" s="211">
        <f t="shared" si="173"/>
        <v>958.27858081471743</v>
      </c>
      <c r="AA94" s="242">
        <f t="shared" si="173"/>
        <v>1010.7119948685055</v>
      </c>
      <c r="AB94" s="242">
        <f t="shared" ref="AB94:AE94" si="174">AB93/AB101</f>
        <v>1039.2375366568915</v>
      </c>
      <c r="AC94" s="407">
        <f t="shared" si="174"/>
        <v>1044.2930153321977</v>
      </c>
      <c r="AD94" s="211">
        <f t="shared" si="174"/>
        <v>1149.7747747747746</v>
      </c>
      <c r="AE94" s="242">
        <f t="shared" si="174"/>
        <v>1061.5755627009646</v>
      </c>
      <c r="AF94" s="242">
        <f t="shared" ref="AF94:AI94" si="175">AF93/AF101</f>
        <v>1177.2996234534696</v>
      </c>
      <c r="AG94" s="407">
        <f t="shared" si="175"/>
        <v>1097.2654155495979</v>
      </c>
      <c r="AH94" s="211">
        <f t="shared" si="175"/>
        <v>1114.1569459172854</v>
      </c>
      <c r="AI94" s="242">
        <f t="shared" si="175"/>
        <v>1072.3747980613894</v>
      </c>
      <c r="AJ94" s="242">
        <f t="shared" ref="AJ94:AO94" si="176">AJ93/AJ101</f>
        <v>1136.3585746102449</v>
      </c>
      <c r="AK94" s="407">
        <f t="shared" si="176"/>
        <v>1114.3176733780761</v>
      </c>
      <c r="AL94" s="211">
        <f t="shared" si="176"/>
        <v>1081.9264069264068</v>
      </c>
      <c r="AM94" s="242">
        <f t="shared" si="176"/>
        <v>1219.6828868234008</v>
      </c>
      <c r="AN94" s="242">
        <f t="shared" si="176"/>
        <v>1332.8231292517007</v>
      </c>
      <c r="AO94" s="407">
        <f t="shared" si="176"/>
        <v>1294.0385739333724</v>
      </c>
      <c r="AP94" s="211">
        <f t="shared" ref="AP94:AS94" si="177">AP93/AP101</f>
        <v>1263.6474908200735</v>
      </c>
      <c r="AQ94" s="242">
        <f t="shared" si="177"/>
        <v>1413.0461165048544</v>
      </c>
      <c r="AR94" s="242" t="e">
        <f t="shared" si="177"/>
        <v>#DIV/0!</v>
      </c>
      <c r="AS94" s="407" t="e">
        <f t="shared" si="177"/>
        <v>#DIV/0!</v>
      </c>
    </row>
    <row r="95" spans="1:59" s="208" customFormat="1" ht="15" hidden="1" customHeight="1" x14ac:dyDescent="0.25">
      <c r="A95" s="225"/>
      <c r="B95" s="227" t="s">
        <v>109</v>
      </c>
      <c r="C95" s="363"/>
      <c r="D95" s="355"/>
      <c r="E95" s="362"/>
      <c r="F95" s="363">
        <v>9598</v>
      </c>
      <c r="G95" s="355">
        <v>11562</v>
      </c>
      <c r="H95" s="355">
        <v>8653</v>
      </c>
      <c r="I95" s="218" t="s">
        <v>77</v>
      </c>
      <c r="J95" s="219" t="s">
        <v>77</v>
      </c>
      <c r="K95" s="219" t="s">
        <v>77</v>
      </c>
      <c r="L95" s="219" t="s">
        <v>77</v>
      </c>
      <c r="M95" s="219" t="s">
        <v>77</v>
      </c>
      <c r="N95" s="220" t="s">
        <v>77</v>
      </c>
      <c r="O95" s="219" t="s">
        <v>77</v>
      </c>
      <c r="P95" s="219" t="s">
        <v>77</v>
      </c>
      <c r="Q95" s="219" t="s">
        <v>77</v>
      </c>
      <c r="R95" s="220" t="s">
        <v>77</v>
      </c>
      <c r="S95" s="219" t="s">
        <v>77</v>
      </c>
      <c r="T95" s="219" t="s">
        <v>77</v>
      </c>
      <c r="U95" s="219" t="s">
        <v>77</v>
      </c>
      <c r="V95" s="220" t="s">
        <v>77</v>
      </c>
      <c r="W95" s="219" t="s">
        <v>77</v>
      </c>
      <c r="X95" s="219" t="s">
        <v>77</v>
      </c>
      <c r="Y95" s="218" t="s">
        <v>77</v>
      </c>
      <c r="Z95" s="220" t="s">
        <v>77</v>
      </c>
      <c r="AA95" s="219" t="s">
        <v>77</v>
      </c>
      <c r="AB95" s="219" t="s">
        <v>77</v>
      </c>
      <c r="AC95" s="218" t="s">
        <v>77</v>
      </c>
      <c r="AD95" s="220" t="s">
        <v>77</v>
      </c>
      <c r="AE95" s="219" t="s">
        <v>77</v>
      </c>
      <c r="AF95" s="219" t="s">
        <v>77</v>
      </c>
      <c r="AG95" s="218" t="s">
        <v>77</v>
      </c>
      <c r="AH95" s="220" t="s">
        <v>77</v>
      </c>
      <c r="AI95" s="219" t="s">
        <v>77</v>
      </c>
      <c r="AJ95" s="219" t="s">
        <v>77</v>
      </c>
      <c r="AK95" s="218" t="s">
        <v>77</v>
      </c>
      <c r="AL95" s="220" t="s">
        <v>77</v>
      </c>
      <c r="AM95" s="219"/>
      <c r="AN95" s="219"/>
      <c r="AO95" s="218"/>
      <c r="AP95" s="220" t="s">
        <v>77</v>
      </c>
      <c r="AQ95" s="219"/>
      <c r="AR95" s="219"/>
      <c r="AS95" s="218"/>
    </row>
    <row r="96" spans="1:59" s="208" customFormat="1" ht="15" hidden="1" customHeight="1" x14ac:dyDescent="0.25">
      <c r="A96" s="225"/>
      <c r="B96" s="227" t="s">
        <v>110</v>
      </c>
      <c r="C96" s="363"/>
      <c r="D96" s="355"/>
      <c r="E96" s="362"/>
      <c r="F96" s="363">
        <v>727</v>
      </c>
      <c r="G96" s="355">
        <v>876</v>
      </c>
      <c r="H96" s="355">
        <v>657</v>
      </c>
      <c r="I96" s="218" t="s">
        <v>77</v>
      </c>
      <c r="J96" s="219" t="s">
        <v>77</v>
      </c>
      <c r="K96" s="219" t="s">
        <v>77</v>
      </c>
      <c r="L96" s="219" t="s">
        <v>77</v>
      </c>
      <c r="M96" s="219" t="s">
        <v>77</v>
      </c>
      <c r="N96" s="220" t="s">
        <v>77</v>
      </c>
      <c r="O96" s="219" t="s">
        <v>77</v>
      </c>
      <c r="P96" s="219" t="s">
        <v>77</v>
      </c>
      <c r="Q96" s="219" t="s">
        <v>77</v>
      </c>
      <c r="R96" s="220" t="s">
        <v>77</v>
      </c>
      <c r="S96" s="219" t="s">
        <v>77</v>
      </c>
      <c r="T96" s="219" t="s">
        <v>77</v>
      </c>
      <c r="U96" s="219" t="s">
        <v>77</v>
      </c>
      <c r="V96" s="220" t="s">
        <v>77</v>
      </c>
      <c r="W96" s="219" t="s">
        <v>77</v>
      </c>
      <c r="X96" s="219" t="s">
        <v>77</v>
      </c>
      <c r="Y96" s="218" t="s">
        <v>77</v>
      </c>
      <c r="Z96" s="220" t="s">
        <v>77</v>
      </c>
      <c r="AA96" s="219" t="s">
        <v>77</v>
      </c>
      <c r="AB96" s="219" t="s">
        <v>77</v>
      </c>
      <c r="AC96" s="218" t="s">
        <v>77</v>
      </c>
      <c r="AD96" s="220" t="s">
        <v>77</v>
      </c>
      <c r="AE96" s="219" t="s">
        <v>77</v>
      </c>
      <c r="AF96" s="219" t="s">
        <v>77</v>
      </c>
      <c r="AG96" s="218" t="s">
        <v>77</v>
      </c>
      <c r="AH96" s="220" t="s">
        <v>77</v>
      </c>
      <c r="AI96" s="219" t="s">
        <v>77</v>
      </c>
      <c r="AJ96" s="219" t="s">
        <v>77</v>
      </c>
      <c r="AK96" s="218" t="s">
        <v>77</v>
      </c>
      <c r="AL96" s="220" t="s">
        <v>77</v>
      </c>
      <c r="AM96" s="219"/>
      <c r="AN96" s="219"/>
      <c r="AO96" s="218"/>
      <c r="AP96" s="220" t="s">
        <v>77</v>
      </c>
      <c r="AQ96" s="219"/>
      <c r="AR96" s="219"/>
      <c r="AS96" s="218"/>
    </row>
    <row r="97" spans="1:59" s="208" customFormat="1" x14ac:dyDescent="0.25">
      <c r="A97" s="225"/>
      <c r="B97" s="227" t="s">
        <v>128</v>
      </c>
      <c r="C97" s="363"/>
      <c r="D97" s="355"/>
      <c r="E97" s="362"/>
      <c r="F97" s="363">
        <v>7797</v>
      </c>
      <c r="G97" s="355">
        <v>9465</v>
      </c>
      <c r="H97" s="355">
        <v>8559</v>
      </c>
      <c r="I97" s="362">
        <v>9916</v>
      </c>
      <c r="J97" s="211">
        <v>8706</v>
      </c>
      <c r="K97" s="242">
        <v>10420</v>
      </c>
      <c r="L97" s="242">
        <v>11172</v>
      </c>
      <c r="M97" s="242">
        <v>11380</v>
      </c>
      <c r="N97" s="211">
        <v>11857</v>
      </c>
      <c r="O97" s="242">
        <v>11773</v>
      </c>
      <c r="P97" s="242">
        <v>13267</v>
      </c>
      <c r="Q97" s="242">
        <v>11538</v>
      </c>
      <c r="R97" s="211">
        <v>12701</v>
      </c>
      <c r="S97" s="242">
        <v>15420</v>
      </c>
      <c r="T97" s="242">
        <v>15450</v>
      </c>
      <c r="U97" s="242">
        <v>13782</v>
      </c>
      <c r="V97" s="211">
        <v>13401</v>
      </c>
      <c r="W97" s="242">
        <v>13134</v>
      </c>
      <c r="X97" s="242">
        <v>15294</v>
      </c>
      <c r="Y97" s="407">
        <v>16394</v>
      </c>
      <c r="Z97" s="211">
        <v>13979</v>
      </c>
      <c r="AA97" s="242">
        <v>16062</v>
      </c>
      <c r="AB97" s="242">
        <v>21032</v>
      </c>
      <c r="AC97" s="407">
        <v>24053</v>
      </c>
      <c r="AD97" s="211">
        <v>24360</v>
      </c>
      <c r="AE97" s="242">
        <v>22329</v>
      </c>
      <c r="AF97" s="242">
        <v>25258</v>
      </c>
      <c r="AG97" s="407">
        <v>25212</v>
      </c>
      <c r="AH97" s="211">
        <v>23447</v>
      </c>
      <c r="AI97" s="242">
        <v>19788</v>
      </c>
      <c r="AJ97" s="242">
        <v>20600</v>
      </c>
      <c r="AK97" s="407">
        <v>20702</v>
      </c>
      <c r="AL97" s="211">
        <v>20454</v>
      </c>
      <c r="AM97" s="242">
        <v>23347</v>
      </c>
      <c r="AN97" s="242">
        <v>23410</v>
      </c>
      <c r="AO97" s="407">
        <v>24365</v>
      </c>
      <c r="AP97" s="211">
        <v>22750</v>
      </c>
      <c r="AQ97" s="242">
        <v>25331</v>
      </c>
      <c r="AR97" s="242"/>
      <c r="AS97" s="407"/>
    </row>
    <row r="98" spans="1:59" s="208" customFormat="1" x14ac:dyDescent="0.25">
      <c r="A98" s="225"/>
      <c r="B98" s="227" t="s">
        <v>129</v>
      </c>
      <c r="C98" s="363"/>
      <c r="D98" s="355"/>
      <c r="E98" s="362"/>
      <c r="F98" s="363">
        <v>590</v>
      </c>
      <c r="G98" s="355">
        <v>717</v>
      </c>
      <c r="H98" s="355">
        <v>650</v>
      </c>
      <c r="I98" s="362">
        <v>727</v>
      </c>
      <c r="J98" s="211">
        <v>728</v>
      </c>
      <c r="K98" s="242">
        <f t="shared" ref="K98:Q98" si="178">K97/K101</f>
        <v>823.71541501976287</v>
      </c>
      <c r="L98" s="242">
        <f t="shared" si="178"/>
        <v>795.16014234875445</v>
      </c>
      <c r="M98" s="242">
        <f t="shared" si="178"/>
        <v>795.24807826694621</v>
      </c>
      <c r="N98" s="211">
        <f t="shared" si="178"/>
        <v>846.32405424696651</v>
      </c>
      <c r="O98" s="242">
        <f t="shared" si="178"/>
        <v>818.13759555246691</v>
      </c>
      <c r="P98" s="242">
        <f t="shared" si="178"/>
        <v>904.36264485344236</v>
      </c>
      <c r="Q98" s="242">
        <f t="shared" si="178"/>
        <v>783.83152173913038</v>
      </c>
      <c r="R98" s="211">
        <f t="shared" ref="R98:S98" si="179">R97/R101</f>
        <v>825.81274382314689</v>
      </c>
      <c r="S98" s="242">
        <f t="shared" si="179"/>
        <v>859.05292479108641</v>
      </c>
      <c r="T98" s="242">
        <f t="shared" ref="T98:U98" si="180">T97/T101</f>
        <v>913.66055588409222</v>
      </c>
      <c r="U98" s="242">
        <f t="shared" si="180"/>
        <v>882.89557975656635</v>
      </c>
      <c r="V98" s="211">
        <f t="shared" ref="V98:W98" si="181">V97/V101</f>
        <v>895.7887700534759</v>
      </c>
      <c r="W98" s="242">
        <f t="shared" si="181"/>
        <v>929.51167728237783</v>
      </c>
      <c r="X98" s="242">
        <f t="shared" ref="X98:AA98" si="182">X97/X101</f>
        <v>1045.3861927546138</v>
      </c>
      <c r="Y98" s="407">
        <f t="shared" si="182"/>
        <v>1063.1647211413749</v>
      </c>
      <c r="Z98" s="211">
        <f t="shared" si="182"/>
        <v>918.4625492772667</v>
      </c>
      <c r="AA98" s="242">
        <f t="shared" si="182"/>
        <v>1030.2758178319436</v>
      </c>
      <c r="AB98" s="242">
        <f t="shared" ref="AB98:AE98" si="183">AB97/AB101</f>
        <v>1233.5483870967741</v>
      </c>
      <c r="AC98" s="407">
        <f t="shared" si="183"/>
        <v>1365.8716638273709</v>
      </c>
      <c r="AD98" s="211">
        <f t="shared" si="183"/>
        <v>1371.6216216216214</v>
      </c>
      <c r="AE98" s="242">
        <f t="shared" si="183"/>
        <v>1196.6237942122186</v>
      </c>
      <c r="AF98" s="242">
        <f t="shared" ref="AF98:AI98" si="184">AF97/AF101</f>
        <v>1358.6874663797742</v>
      </c>
      <c r="AG98" s="407">
        <f t="shared" si="184"/>
        <v>1351.8498659517427</v>
      </c>
      <c r="AH98" s="211">
        <f t="shared" si="184"/>
        <v>1243.2131495227995</v>
      </c>
      <c r="AI98" s="242">
        <f t="shared" si="184"/>
        <v>1065.5896607431341</v>
      </c>
      <c r="AJ98" s="242">
        <f t="shared" ref="AJ98:AO98" si="185">AJ97/AJ101</f>
        <v>1146.9933184855233</v>
      </c>
      <c r="AK98" s="407">
        <f t="shared" si="185"/>
        <v>1157.8299776286353</v>
      </c>
      <c r="AL98" s="211">
        <f t="shared" si="185"/>
        <v>1106.8181818181818</v>
      </c>
      <c r="AM98" s="242">
        <f>AM97/AM101+1</f>
        <v>1277.4898851831604</v>
      </c>
      <c r="AN98" s="242">
        <f t="shared" si="185"/>
        <v>1327.0975056689342</v>
      </c>
      <c r="AO98" s="407">
        <f t="shared" si="185"/>
        <v>1424.021040327294</v>
      </c>
      <c r="AP98" s="211">
        <f t="shared" ref="AP98" si="186">AP97/AP101</f>
        <v>1392.2888616891064</v>
      </c>
      <c r="AQ98" s="242">
        <f>AQ97/AQ101</f>
        <v>1537.0752427184466</v>
      </c>
      <c r="AR98" s="242" t="e">
        <f t="shared" ref="AR98:AS98" si="187">AR97/AR101</f>
        <v>#DIV/0!</v>
      </c>
      <c r="AS98" s="407" t="e">
        <f t="shared" si="187"/>
        <v>#DIV/0!</v>
      </c>
    </row>
    <row r="99" spans="1:59" s="208" customFormat="1" x14ac:dyDescent="0.25">
      <c r="A99" s="225"/>
      <c r="B99" s="227" t="s">
        <v>136</v>
      </c>
      <c r="C99" s="363"/>
      <c r="D99" s="355"/>
      <c r="E99" s="362"/>
      <c r="F99" s="363"/>
      <c r="G99" s="355"/>
      <c r="H99" s="355"/>
      <c r="I99" s="362"/>
      <c r="J99" s="211">
        <v>8706</v>
      </c>
      <c r="K99" s="242">
        <f>+K97</f>
        <v>10420</v>
      </c>
      <c r="L99" s="242">
        <f>+L97</f>
        <v>11172</v>
      </c>
      <c r="M99" s="242">
        <v>11380</v>
      </c>
      <c r="N99" s="211">
        <v>11857</v>
      </c>
      <c r="O99" s="242">
        <v>11773</v>
      </c>
      <c r="P99" s="242">
        <v>13267</v>
      </c>
      <c r="Q99" s="242">
        <v>11538</v>
      </c>
      <c r="R99" s="211">
        <v>12701</v>
      </c>
      <c r="S99" s="242">
        <v>15420</v>
      </c>
      <c r="T99" s="242">
        <v>15450</v>
      </c>
      <c r="U99" s="242">
        <v>13782</v>
      </c>
      <c r="V99" s="211">
        <v>13401</v>
      </c>
      <c r="W99" s="242">
        <v>13134</v>
      </c>
      <c r="X99" s="242">
        <v>15294</v>
      </c>
      <c r="Y99" s="407">
        <v>16394</v>
      </c>
      <c r="Z99" s="211">
        <v>13979</v>
      </c>
      <c r="AA99" s="242">
        <v>16062</v>
      </c>
      <c r="AB99" s="242">
        <v>21032</v>
      </c>
      <c r="AC99" s="407">
        <v>24053</v>
      </c>
      <c r="AD99" s="211">
        <v>24360</v>
      </c>
      <c r="AE99" s="242">
        <v>22329</v>
      </c>
      <c r="AF99" s="242">
        <v>25258</v>
      </c>
      <c r="AG99" s="407">
        <v>25212</v>
      </c>
      <c r="AH99" s="211">
        <v>23447</v>
      </c>
      <c r="AI99" s="242">
        <v>19788</v>
      </c>
      <c r="AJ99" s="242">
        <v>20600</v>
      </c>
      <c r="AK99" s="407">
        <v>20702</v>
      </c>
      <c r="AL99" s="211">
        <v>20454</v>
      </c>
      <c r="AM99" s="242">
        <v>23347</v>
      </c>
      <c r="AN99" s="242">
        <v>23410</v>
      </c>
      <c r="AO99" s="407">
        <v>24365</v>
      </c>
      <c r="AP99" s="211">
        <v>22750</v>
      </c>
      <c r="AQ99" s="242">
        <v>25331</v>
      </c>
      <c r="AR99" s="242"/>
      <c r="AS99" s="407"/>
    </row>
    <row r="100" spans="1:59" s="208" customFormat="1" x14ac:dyDescent="0.25">
      <c r="A100" s="225"/>
      <c r="B100" s="227" t="s">
        <v>137</v>
      </c>
      <c r="C100" s="363"/>
      <c r="D100" s="355"/>
      <c r="E100" s="362"/>
      <c r="F100" s="363"/>
      <c r="G100" s="355"/>
      <c r="H100" s="355"/>
      <c r="I100" s="362"/>
      <c r="J100" s="360">
        <f>+J99/(J101)</f>
        <v>727.92642140468217</v>
      </c>
      <c r="K100" s="242">
        <f>+K99/(K101)</f>
        <v>823.71541501976287</v>
      </c>
      <c r="L100" s="242">
        <f>+L99/(L101)</f>
        <v>795.16014234875445</v>
      </c>
      <c r="M100" s="242">
        <f t="shared" ref="M100:R100" si="188">M99/M101</f>
        <v>795.24807826694621</v>
      </c>
      <c r="N100" s="211">
        <f t="shared" si="188"/>
        <v>846.32405424696651</v>
      </c>
      <c r="O100" s="242">
        <f t="shared" si="188"/>
        <v>818.13759555246691</v>
      </c>
      <c r="P100" s="242">
        <f t="shared" si="188"/>
        <v>904.36264485344236</v>
      </c>
      <c r="Q100" s="242">
        <f t="shared" si="188"/>
        <v>783.83152173913038</v>
      </c>
      <c r="R100" s="211">
        <f t="shared" si="188"/>
        <v>825.81274382314689</v>
      </c>
      <c r="S100" s="242">
        <f t="shared" ref="S100:T100" si="189">S99/S101</f>
        <v>859.05292479108641</v>
      </c>
      <c r="T100" s="242">
        <f t="shared" si="189"/>
        <v>913.66055588409222</v>
      </c>
      <c r="U100" s="242">
        <f t="shared" ref="U100:W100" si="190">U99/U101</f>
        <v>882.89557975656635</v>
      </c>
      <c r="V100" s="211">
        <f t="shared" si="190"/>
        <v>895.7887700534759</v>
      </c>
      <c r="W100" s="242">
        <f t="shared" si="190"/>
        <v>929.51167728237783</v>
      </c>
      <c r="X100" s="242">
        <f t="shared" ref="X100:AA100" si="191">X99/X101</f>
        <v>1045.3861927546138</v>
      </c>
      <c r="Y100" s="407">
        <f t="shared" si="191"/>
        <v>1063.1647211413749</v>
      </c>
      <c r="Z100" s="211">
        <f t="shared" si="191"/>
        <v>918.4625492772667</v>
      </c>
      <c r="AA100" s="242">
        <f t="shared" si="191"/>
        <v>1030.2758178319436</v>
      </c>
      <c r="AB100" s="242">
        <f t="shared" ref="AB100:AE100" si="192">AB99/AB101</f>
        <v>1233.5483870967741</v>
      </c>
      <c r="AC100" s="407">
        <f t="shared" si="192"/>
        <v>1365.8716638273709</v>
      </c>
      <c r="AD100" s="211">
        <f t="shared" si="192"/>
        <v>1371.6216216216214</v>
      </c>
      <c r="AE100" s="242">
        <f t="shared" si="192"/>
        <v>1196.6237942122186</v>
      </c>
      <c r="AF100" s="242">
        <f t="shared" ref="AF100:AI100" si="193">AF99/AF101</f>
        <v>1358.6874663797742</v>
      </c>
      <c r="AG100" s="407">
        <f t="shared" si="193"/>
        <v>1351.8498659517427</v>
      </c>
      <c r="AH100" s="211">
        <f t="shared" si="193"/>
        <v>1243.2131495227995</v>
      </c>
      <c r="AI100" s="242">
        <f t="shared" si="193"/>
        <v>1065.5896607431341</v>
      </c>
      <c r="AJ100" s="242">
        <f t="shared" ref="AJ100:AO100" si="194">AJ99/AJ101</f>
        <v>1146.9933184855233</v>
      </c>
      <c r="AK100" s="407">
        <f t="shared" si="194"/>
        <v>1157.8299776286353</v>
      </c>
      <c r="AL100" s="211">
        <f t="shared" si="194"/>
        <v>1106.8181818181818</v>
      </c>
      <c r="AM100" s="242">
        <f>AM99/AM101+1</f>
        <v>1277.4898851831604</v>
      </c>
      <c r="AN100" s="242">
        <f t="shared" si="194"/>
        <v>1327.0975056689342</v>
      </c>
      <c r="AO100" s="407">
        <f t="shared" si="194"/>
        <v>1424.021040327294</v>
      </c>
      <c r="AP100" s="211">
        <f t="shared" ref="AP100" si="195">AP99/AP101</f>
        <v>1392.2888616891064</v>
      </c>
      <c r="AQ100" s="242">
        <f>AQ99/AQ101</f>
        <v>1537.0752427184466</v>
      </c>
      <c r="AR100" s="242" t="e">
        <f t="shared" ref="AR100:AS100" si="196">AR99/AR101</f>
        <v>#DIV/0!</v>
      </c>
      <c r="AS100" s="407" t="e">
        <f t="shared" si="196"/>
        <v>#DIV/0!</v>
      </c>
    </row>
    <row r="101" spans="1:59" s="208" customFormat="1" x14ac:dyDescent="0.25">
      <c r="A101" s="225"/>
      <c r="B101" s="227" t="s">
        <v>83</v>
      </c>
      <c r="C101" s="363"/>
      <c r="D101" s="355"/>
      <c r="E101" s="362"/>
      <c r="F101" s="363"/>
      <c r="G101" s="355"/>
      <c r="H101" s="355"/>
      <c r="I101" s="362"/>
      <c r="J101" s="288">
        <v>11.96</v>
      </c>
      <c r="K101" s="243">
        <v>12.65</v>
      </c>
      <c r="L101" s="243">
        <v>14.05</v>
      </c>
      <c r="M101" s="364">
        <v>14.31</v>
      </c>
      <c r="N101" s="365">
        <v>14.01</v>
      </c>
      <c r="O101" s="364">
        <v>14.39</v>
      </c>
      <c r="P101" s="364">
        <v>14.67</v>
      </c>
      <c r="Q101" s="364">
        <v>14.72</v>
      </c>
      <c r="R101" s="365">
        <v>15.38</v>
      </c>
      <c r="S101" s="364">
        <v>17.95</v>
      </c>
      <c r="T101" s="364">
        <v>16.91</v>
      </c>
      <c r="U101" s="364">
        <v>15.61</v>
      </c>
      <c r="V101" s="365">
        <v>14.96</v>
      </c>
      <c r="W101" s="243">
        <v>14.13</v>
      </c>
      <c r="X101" s="243">
        <v>14.63</v>
      </c>
      <c r="Y101" s="326">
        <v>15.42</v>
      </c>
      <c r="Z101" s="365">
        <v>15.22</v>
      </c>
      <c r="AA101" s="243">
        <v>15.59</v>
      </c>
      <c r="AB101" s="243">
        <v>17.05</v>
      </c>
      <c r="AC101" s="326">
        <v>17.61</v>
      </c>
      <c r="AD101" s="365">
        <v>17.760000000000002</v>
      </c>
      <c r="AE101" s="243">
        <v>18.66</v>
      </c>
      <c r="AF101" s="297">
        <v>18.59</v>
      </c>
      <c r="AG101" s="326">
        <v>18.649999999999999</v>
      </c>
      <c r="AH101" s="365">
        <v>18.86</v>
      </c>
      <c r="AI101" s="297">
        <v>18.57</v>
      </c>
      <c r="AJ101" s="297">
        <v>17.96</v>
      </c>
      <c r="AK101" s="326">
        <v>17.88</v>
      </c>
      <c r="AL101" s="301">
        <v>18.48</v>
      </c>
      <c r="AM101" s="297">
        <v>18.29</v>
      </c>
      <c r="AN101" s="297">
        <v>17.64</v>
      </c>
      <c r="AO101" s="326">
        <v>17.11</v>
      </c>
      <c r="AP101" s="301">
        <v>16.34</v>
      </c>
      <c r="AQ101" s="297">
        <v>16.48</v>
      </c>
      <c r="AR101" s="297"/>
      <c r="AS101" s="326"/>
    </row>
    <row r="102" spans="1:59" s="208" customFormat="1" x14ac:dyDescent="0.25">
      <c r="A102" s="307"/>
      <c r="B102" s="305"/>
      <c r="C102" s="307"/>
      <c r="D102" s="313"/>
      <c r="E102" s="305"/>
      <c r="F102" s="307"/>
      <c r="G102" s="313"/>
      <c r="H102" s="313"/>
      <c r="I102" s="305"/>
      <c r="J102" s="307"/>
      <c r="K102" s="313"/>
      <c r="L102" s="313"/>
      <c r="M102" s="313"/>
      <c r="N102" s="307"/>
      <c r="O102" s="313"/>
      <c r="P102" s="313"/>
      <c r="Q102" s="313"/>
      <c r="R102" s="307"/>
      <c r="S102" s="313"/>
      <c r="T102" s="313"/>
      <c r="U102" s="313"/>
      <c r="V102" s="307"/>
      <c r="W102" s="313"/>
      <c r="X102" s="313"/>
      <c r="Y102" s="305"/>
      <c r="Z102" s="307"/>
      <c r="AA102" s="313"/>
      <c r="AB102" s="313"/>
      <c r="AC102" s="305"/>
      <c r="AD102" s="307"/>
      <c r="AE102" s="313"/>
      <c r="AF102" s="313"/>
      <c r="AG102" s="305"/>
      <c r="AH102" s="307"/>
      <c r="AI102" s="313"/>
      <c r="AJ102" s="313"/>
      <c r="AK102" s="305"/>
      <c r="AL102" s="307"/>
      <c r="AM102" s="313"/>
      <c r="AN102" s="313"/>
      <c r="AO102" s="305"/>
      <c r="AP102" s="307"/>
      <c r="AQ102" s="313"/>
      <c r="AR102" s="313"/>
      <c r="AS102" s="305"/>
    </row>
    <row r="103" spans="1:59" ht="21" x14ac:dyDescent="0.35">
      <c r="A103" s="160"/>
      <c r="B103" s="184" t="s">
        <v>103</v>
      </c>
      <c r="C103" s="135"/>
      <c r="D103" s="136"/>
      <c r="E103" s="137"/>
      <c r="F103" s="138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8"/>
      <c r="S103" s="136"/>
      <c r="T103" s="136"/>
      <c r="U103" s="136"/>
      <c r="V103" s="138"/>
      <c r="W103" s="136"/>
      <c r="X103" s="136"/>
      <c r="Y103" s="137"/>
      <c r="Z103" s="138"/>
      <c r="AA103" s="136"/>
      <c r="AB103" s="136"/>
      <c r="AC103" s="137"/>
      <c r="AD103" s="138"/>
      <c r="AE103" s="136"/>
      <c r="AF103" s="136"/>
      <c r="AG103" s="137"/>
      <c r="AH103" s="138"/>
      <c r="AI103" s="136"/>
      <c r="AJ103" s="136"/>
      <c r="AK103" s="137"/>
      <c r="AL103" s="138"/>
      <c r="AM103" s="136"/>
      <c r="AN103" s="136"/>
      <c r="AO103" s="137"/>
      <c r="AP103" s="138"/>
      <c r="AQ103" s="136"/>
      <c r="AR103" s="136"/>
      <c r="AS103" s="137"/>
    </row>
    <row r="104" spans="1:59" s="208" customFormat="1" ht="18.75" x14ac:dyDescent="0.3">
      <c r="A104" s="225"/>
      <c r="B104" s="327"/>
      <c r="C104" s="213"/>
      <c r="E104" s="227"/>
      <c r="F104" s="225"/>
      <c r="I104" s="227"/>
      <c r="J104" s="225"/>
      <c r="N104" s="225"/>
      <c r="R104" s="225"/>
      <c r="V104" s="225"/>
      <c r="Y104" s="227"/>
      <c r="Z104" s="225"/>
      <c r="AC104" s="227"/>
      <c r="AD104" s="225"/>
      <c r="AG104" s="227"/>
      <c r="AH104" s="225"/>
      <c r="AK104" s="227"/>
      <c r="AL104" s="225"/>
      <c r="AO104" s="227"/>
      <c r="AP104" s="225"/>
      <c r="AS104" s="227"/>
    </row>
    <row r="105" spans="1:59" s="208" customFormat="1" x14ac:dyDescent="0.25">
      <c r="A105" s="225"/>
      <c r="B105" s="292" t="s">
        <v>123</v>
      </c>
      <c r="C105" s="213"/>
      <c r="E105" s="227"/>
      <c r="F105" s="225"/>
      <c r="I105" s="227"/>
      <c r="J105" s="225"/>
      <c r="L105" s="243"/>
      <c r="N105" s="225"/>
      <c r="R105" s="225"/>
      <c r="V105" s="225"/>
      <c r="Y105" s="227"/>
      <c r="Z105" s="225"/>
      <c r="AC105" s="227"/>
      <c r="AD105" s="225"/>
      <c r="AG105" s="227"/>
      <c r="AH105" s="225"/>
      <c r="AK105" s="227"/>
      <c r="AL105" s="225"/>
      <c r="AO105" s="227"/>
      <c r="AP105" s="225"/>
      <c r="AS105" s="227"/>
    </row>
    <row r="106" spans="1:59" s="208" customFormat="1" x14ac:dyDescent="0.25">
      <c r="A106" s="225"/>
      <c r="B106" s="227" t="s">
        <v>52</v>
      </c>
      <c r="C106" s="213">
        <v>0</v>
      </c>
      <c r="D106" s="208">
        <v>0</v>
      </c>
      <c r="E106" s="227">
        <v>0</v>
      </c>
      <c r="F106" s="225">
        <v>0</v>
      </c>
      <c r="G106" s="208">
        <v>0</v>
      </c>
      <c r="H106" s="208">
        <v>0</v>
      </c>
      <c r="I106" s="227">
        <v>0</v>
      </c>
      <c r="J106" s="288"/>
      <c r="K106" s="243"/>
      <c r="L106" s="243"/>
      <c r="M106" s="243"/>
      <c r="N106" s="288"/>
      <c r="O106" s="243"/>
      <c r="P106" s="243"/>
      <c r="Q106" s="243"/>
      <c r="R106" s="288"/>
      <c r="S106" s="243"/>
      <c r="T106" s="243"/>
      <c r="U106" s="243"/>
      <c r="V106" s="288"/>
      <c r="W106" s="243"/>
      <c r="X106" s="243"/>
      <c r="Y106" s="326"/>
      <c r="Z106" s="288"/>
      <c r="AA106" s="243"/>
      <c r="AB106" s="243"/>
      <c r="AC106" s="326"/>
      <c r="AD106" s="288"/>
      <c r="AE106" s="243"/>
      <c r="AF106" s="243"/>
      <c r="AG106" s="326"/>
      <c r="AH106" s="288"/>
      <c r="AI106" s="243"/>
      <c r="AJ106" s="243"/>
      <c r="AK106" s="326"/>
      <c r="AL106" s="288"/>
      <c r="AM106" s="243"/>
      <c r="AN106" s="243"/>
      <c r="AO106" s="326"/>
      <c r="AP106" s="288"/>
      <c r="AQ106" s="243"/>
      <c r="AR106" s="243"/>
      <c r="AS106" s="326"/>
    </row>
    <row r="107" spans="1:59" s="208" customFormat="1" x14ac:dyDescent="0.25">
      <c r="A107" s="225"/>
      <c r="B107" s="227" t="s">
        <v>53</v>
      </c>
      <c r="C107" s="213">
        <v>1433</v>
      </c>
      <c r="D107" s="253">
        <v>1870</v>
      </c>
      <c r="E107" s="352">
        <v>2366</v>
      </c>
      <c r="F107" s="226">
        <v>2121</v>
      </c>
      <c r="G107" s="253">
        <v>2072</v>
      </c>
      <c r="H107" s="253">
        <v>2202</v>
      </c>
      <c r="I107" s="352">
        <v>1655</v>
      </c>
      <c r="J107" s="211">
        <v>1678</v>
      </c>
      <c r="K107" s="242">
        <v>2070</v>
      </c>
      <c r="L107" s="242">
        <v>1887</v>
      </c>
      <c r="M107" s="242">
        <v>2077</v>
      </c>
      <c r="N107" s="211">
        <v>1820</v>
      </c>
      <c r="O107" s="242">
        <v>2255</v>
      </c>
      <c r="P107" s="242">
        <v>2103</v>
      </c>
      <c r="Q107" s="242">
        <v>1857</v>
      </c>
      <c r="R107" s="211">
        <v>1775</v>
      </c>
      <c r="S107" s="242">
        <v>1530</v>
      </c>
      <c r="T107" s="242">
        <v>2548</v>
      </c>
      <c r="U107" s="242">
        <v>2636</v>
      </c>
      <c r="V107" s="211">
        <v>2489</v>
      </c>
      <c r="W107" s="242">
        <v>2642</v>
      </c>
      <c r="X107" s="242">
        <v>2913</v>
      </c>
      <c r="Y107" s="407">
        <v>2592</v>
      </c>
      <c r="Z107" s="211">
        <v>2482</v>
      </c>
      <c r="AA107" s="242">
        <v>2677</v>
      </c>
      <c r="AB107" s="242">
        <v>2736</v>
      </c>
      <c r="AC107" s="407">
        <v>2450</v>
      </c>
      <c r="AD107" s="211">
        <v>2529</v>
      </c>
      <c r="AE107" s="242">
        <v>2665</v>
      </c>
      <c r="AF107" s="242">
        <v>2649</v>
      </c>
      <c r="AG107" s="407">
        <v>2307</v>
      </c>
      <c r="AH107" s="211">
        <v>2057</v>
      </c>
      <c r="AI107" s="242">
        <v>2256</v>
      </c>
      <c r="AJ107" s="242">
        <v>2490</v>
      </c>
      <c r="AK107" s="407">
        <v>1686</v>
      </c>
      <c r="AL107" s="211">
        <v>2122</v>
      </c>
      <c r="AM107" s="242">
        <v>2327</v>
      </c>
      <c r="AN107" s="242">
        <v>2694</v>
      </c>
      <c r="AO107" s="407">
        <v>2272</v>
      </c>
      <c r="AP107" s="211">
        <v>1677.377</v>
      </c>
      <c r="AQ107" s="242">
        <v>1478</v>
      </c>
      <c r="AR107" s="242"/>
      <c r="AS107" s="407"/>
    </row>
    <row r="108" spans="1:59" s="1" customFormat="1" x14ac:dyDescent="0.25">
      <c r="A108" s="306"/>
      <c r="B108" s="290" t="s">
        <v>54</v>
      </c>
      <c r="C108" s="139">
        <f t="shared" ref="C108:I108" si="197">+C107+C106</f>
        <v>1433</v>
      </c>
      <c r="D108" s="140">
        <f t="shared" si="197"/>
        <v>1870</v>
      </c>
      <c r="E108" s="141">
        <f t="shared" si="197"/>
        <v>2366</v>
      </c>
      <c r="F108" s="139">
        <f t="shared" si="197"/>
        <v>2121</v>
      </c>
      <c r="G108" s="140">
        <f t="shared" si="197"/>
        <v>2072</v>
      </c>
      <c r="H108" s="140">
        <f t="shared" si="197"/>
        <v>2202</v>
      </c>
      <c r="I108" s="141">
        <f t="shared" si="197"/>
        <v>1655</v>
      </c>
      <c r="J108" s="139">
        <f t="shared" ref="J108:Q108" si="198">+J107+J106</f>
        <v>1678</v>
      </c>
      <c r="K108" s="140">
        <f t="shared" si="198"/>
        <v>2070</v>
      </c>
      <c r="L108" s="140">
        <f t="shared" si="198"/>
        <v>1887</v>
      </c>
      <c r="M108" s="140">
        <f t="shared" si="198"/>
        <v>2077</v>
      </c>
      <c r="N108" s="139">
        <f t="shared" si="198"/>
        <v>1820</v>
      </c>
      <c r="O108" s="140">
        <f t="shared" si="198"/>
        <v>2255</v>
      </c>
      <c r="P108" s="140">
        <f t="shared" si="198"/>
        <v>2103</v>
      </c>
      <c r="Q108" s="140">
        <f t="shared" si="198"/>
        <v>1857</v>
      </c>
      <c r="R108" s="139">
        <f t="shared" ref="R108:S108" si="199">+R107+R106</f>
        <v>1775</v>
      </c>
      <c r="S108" s="140">
        <f t="shared" si="199"/>
        <v>1530</v>
      </c>
      <c r="T108" s="140">
        <f t="shared" ref="T108:U108" si="200">+T107+T106</f>
        <v>2548</v>
      </c>
      <c r="U108" s="140">
        <f t="shared" si="200"/>
        <v>2636</v>
      </c>
      <c r="V108" s="139">
        <f t="shared" ref="V108:W108" si="201">+V107+V106</f>
        <v>2489</v>
      </c>
      <c r="W108" s="140">
        <f t="shared" si="201"/>
        <v>2642</v>
      </c>
      <c r="X108" s="140">
        <f t="shared" ref="X108:AA108" si="202">+X107+X106</f>
        <v>2913</v>
      </c>
      <c r="Y108" s="141">
        <f t="shared" si="202"/>
        <v>2592</v>
      </c>
      <c r="Z108" s="139">
        <f t="shared" si="202"/>
        <v>2482</v>
      </c>
      <c r="AA108" s="140">
        <f t="shared" si="202"/>
        <v>2677</v>
      </c>
      <c r="AB108" s="140">
        <f t="shared" ref="AB108:AE108" si="203">+AB107+AB106</f>
        <v>2736</v>
      </c>
      <c r="AC108" s="141">
        <f t="shared" si="203"/>
        <v>2450</v>
      </c>
      <c r="AD108" s="139">
        <f t="shared" si="203"/>
        <v>2529</v>
      </c>
      <c r="AE108" s="140">
        <f t="shared" si="203"/>
        <v>2665</v>
      </c>
      <c r="AF108" s="140">
        <f t="shared" ref="AF108:AI108" si="204">+AF107+AF106</f>
        <v>2649</v>
      </c>
      <c r="AG108" s="141">
        <f t="shared" si="204"/>
        <v>2307</v>
      </c>
      <c r="AH108" s="139">
        <f t="shared" si="204"/>
        <v>2057</v>
      </c>
      <c r="AI108" s="140">
        <f t="shared" si="204"/>
        <v>2256</v>
      </c>
      <c r="AJ108" s="140">
        <f t="shared" ref="AJ108:AO108" si="205">+AJ107+AJ106</f>
        <v>2490</v>
      </c>
      <c r="AK108" s="141">
        <f t="shared" si="205"/>
        <v>1686</v>
      </c>
      <c r="AL108" s="139">
        <f t="shared" si="205"/>
        <v>2122</v>
      </c>
      <c r="AM108" s="140">
        <f t="shared" si="205"/>
        <v>2327</v>
      </c>
      <c r="AN108" s="140">
        <f t="shared" si="205"/>
        <v>2694</v>
      </c>
      <c r="AO108" s="141">
        <f t="shared" si="205"/>
        <v>2272</v>
      </c>
      <c r="AP108" s="139">
        <f t="shared" ref="AP108:AS108" si="206">+AP107+AP106</f>
        <v>1677.377</v>
      </c>
      <c r="AQ108" s="140">
        <f t="shared" si="206"/>
        <v>1478</v>
      </c>
      <c r="AR108" s="140">
        <f t="shared" si="206"/>
        <v>0</v>
      </c>
      <c r="AS108" s="141">
        <f t="shared" si="206"/>
        <v>0</v>
      </c>
      <c r="AT108" s="347"/>
      <c r="AU108" s="347"/>
      <c r="AV108" s="347"/>
      <c r="AW108" s="347"/>
      <c r="AX108" s="347"/>
      <c r="AY108" s="347"/>
      <c r="AZ108" s="347"/>
      <c r="BA108" s="347"/>
      <c r="BB108" s="347"/>
      <c r="BC108" s="347"/>
      <c r="BD108" s="347"/>
      <c r="BE108" s="347"/>
      <c r="BF108" s="347"/>
      <c r="BG108" s="347"/>
    </row>
    <row r="109" spans="1:59" s="208" customFormat="1" x14ac:dyDescent="0.25">
      <c r="A109" s="225"/>
      <c r="B109" s="292" t="s">
        <v>104</v>
      </c>
      <c r="C109" s="213"/>
      <c r="E109" s="227"/>
      <c r="F109" s="225"/>
      <c r="I109" s="227"/>
      <c r="J109" s="225"/>
      <c r="K109" s="243"/>
      <c r="L109" s="243"/>
      <c r="M109" s="243"/>
      <c r="N109" s="288"/>
      <c r="O109" s="243"/>
      <c r="P109" s="243"/>
      <c r="Q109" s="243"/>
      <c r="R109" s="288"/>
      <c r="S109" s="243"/>
      <c r="T109" s="243"/>
      <c r="U109" s="243"/>
      <c r="V109" s="288"/>
      <c r="W109" s="243"/>
      <c r="X109" s="243"/>
      <c r="Y109" s="326"/>
      <c r="Z109" s="288"/>
      <c r="AA109" s="243"/>
      <c r="AB109" s="243"/>
      <c r="AC109" s="326"/>
      <c r="AD109" s="288"/>
      <c r="AE109" s="243"/>
      <c r="AF109" s="243"/>
      <c r="AG109" s="326"/>
      <c r="AH109" s="288"/>
      <c r="AI109" s="243"/>
      <c r="AJ109" s="243"/>
      <c r="AK109" s="326"/>
      <c r="AL109" s="288"/>
      <c r="AM109" s="243"/>
      <c r="AN109" s="243"/>
      <c r="AO109" s="326"/>
      <c r="AP109" s="288"/>
      <c r="AQ109" s="243"/>
      <c r="AR109" s="243"/>
      <c r="AS109" s="326"/>
    </row>
    <row r="110" spans="1:59" s="208" customFormat="1" x14ac:dyDescent="0.25">
      <c r="A110" s="225"/>
      <c r="B110" s="227" t="s">
        <v>52</v>
      </c>
      <c r="C110" s="301">
        <v>0</v>
      </c>
      <c r="D110" s="208">
        <v>0</v>
      </c>
      <c r="E110" s="227">
        <v>0</v>
      </c>
      <c r="F110" s="225">
        <v>0</v>
      </c>
      <c r="G110" s="208">
        <v>0</v>
      </c>
      <c r="H110" s="208">
        <v>0</v>
      </c>
      <c r="I110" s="227">
        <v>0</v>
      </c>
      <c r="J110" s="288"/>
      <c r="K110" s="243"/>
      <c r="L110" s="243"/>
      <c r="M110" s="243"/>
      <c r="N110" s="288"/>
      <c r="O110" s="243"/>
      <c r="P110" s="243"/>
      <c r="Q110" s="243"/>
      <c r="R110" s="288"/>
      <c r="S110" s="243"/>
      <c r="T110" s="243"/>
      <c r="U110" s="243"/>
      <c r="V110" s="288"/>
      <c r="W110" s="243"/>
      <c r="X110" s="243"/>
      <c r="Y110" s="326"/>
      <c r="Z110" s="288"/>
      <c r="AA110" s="243"/>
      <c r="AB110" s="243"/>
      <c r="AC110" s="326"/>
      <c r="AD110" s="288"/>
      <c r="AE110" s="243"/>
      <c r="AF110" s="243"/>
      <c r="AG110" s="326"/>
      <c r="AH110" s="288"/>
      <c r="AI110" s="243"/>
      <c r="AJ110" s="243"/>
      <c r="AK110" s="326"/>
      <c r="AL110" s="288"/>
      <c r="AM110" s="243"/>
      <c r="AN110" s="243"/>
      <c r="AO110" s="326"/>
      <c r="AP110" s="288"/>
      <c r="AQ110" s="243"/>
      <c r="AR110" s="243"/>
      <c r="AS110" s="326"/>
    </row>
    <row r="111" spans="1:59" s="208" customFormat="1" x14ac:dyDescent="0.25">
      <c r="A111" s="225"/>
      <c r="B111" s="227" t="s">
        <v>53</v>
      </c>
      <c r="C111" s="301">
        <v>0.65</v>
      </c>
      <c r="D111" s="208">
        <v>0.63</v>
      </c>
      <c r="E111" s="227">
        <v>0.67</v>
      </c>
      <c r="F111" s="225">
        <v>0.69</v>
      </c>
      <c r="G111" s="208">
        <v>0.63</v>
      </c>
      <c r="H111" s="208">
        <v>0.63</v>
      </c>
      <c r="I111" s="227">
        <v>0.67</v>
      </c>
      <c r="J111" s="288">
        <v>0.57999999999999996</v>
      </c>
      <c r="K111" s="243">
        <v>0.62</v>
      </c>
      <c r="L111" s="243">
        <v>0.68</v>
      </c>
      <c r="M111" s="243">
        <v>0.65</v>
      </c>
      <c r="N111" s="288">
        <v>0.72</v>
      </c>
      <c r="O111" s="243">
        <v>0.72</v>
      </c>
      <c r="P111" s="243">
        <v>0.75</v>
      </c>
      <c r="Q111" s="243">
        <v>0.75</v>
      </c>
      <c r="R111" s="288">
        <v>0.83</v>
      </c>
      <c r="S111" s="243">
        <v>0.95</v>
      </c>
      <c r="T111" s="243">
        <v>0.71</v>
      </c>
      <c r="U111" s="243">
        <v>0.67</v>
      </c>
      <c r="V111" s="288">
        <v>0.63</v>
      </c>
      <c r="W111" s="245">
        <v>0.6</v>
      </c>
      <c r="X111" s="245">
        <v>0.71</v>
      </c>
      <c r="Y111" s="318">
        <v>0.75</v>
      </c>
      <c r="Z111" s="288">
        <v>0.77</v>
      </c>
      <c r="AA111" s="245">
        <v>0.68</v>
      </c>
      <c r="AB111" s="245">
        <v>0.69</v>
      </c>
      <c r="AC111" s="318">
        <v>0.66</v>
      </c>
      <c r="AD111" s="288">
        <v>0.74</v>
      </c>
      <c r="AE111" s="245">
        <v>0.69</v>
      </c>
      <c r="AF111" s="245">
        <v>0.72</v>
      </c>
      <c r="AG111" s="318">
        <v>0.75</v>
      </c>
      <c r="AH111" s="288">
        <v>0.76</v>
      </c>
      <c r="AI111" s="245">
        <v>0.75</v>
      </c>
      <c r="AJ111" s="245">
        <v>0.76</v>
      </c>
      <c r="AK111" s="318">
        <v>0.92</v>
      </c>
      <c r="AL111" s="288">
        <v>0.74</v>
      </c>
      <c r="AM111" s="245">
        <v>0.71</v>
      </c>
      <c r="AN111" s="245">
        <v>0.72</v>
      </c>
      <c r="AO111" s="318">
        <v>0.71</v>
      </c>
      <c r="AP111" s="288">
        <v>0.76</v>
      </c>
      <c r="AQ111" s="245">
        <v>0.7</v>
      </c>
      <c r="AR111" s="245"/>
      <c r="AS111" s="318"/>
    </row>
    <row r="112" spans="1:59" s="1" customFormat="1" x14ac:dyDescent="0.25">
      <c r="A112" s="306"/>
      <c r="B112" s="290" t="s">
        <v>56</v>
      </c>
      <c r="C112" s="142">
        <f t="shared" ref="C112:I112" si="207">+C111</f>
        <v>0.65</v>
      </c>
      <c r="D112" s="143">
        <f t="shared" si="207"/>
        <v>0.63</v>
      </c>
      <c r="E112" s="144">
        <f t="shared" si="207"/>
        <v>0.67</v>
      </c>
      <c r="F112" s="142">
        <f t="shared" si="207"/>
        <v>0.69</v>
      </c>
      <c r="G112" s="143">
        <f t="shared" si="207"/>
        <v>0.63</v>
      </c>
      <c r="H112" s="143">
        <f t="shared" si="207"/>
        <v>0.63</v>
      </c>
      <c r="I112" s="144">
        <f t="shared" si="207"/>
        <v>0.67</v>
      </c>
      <c r="J112" s="142">
        <f t="shared" ref="J112:Q112" si="208">+J111</f>
        <v>0.57999999999999996</v>
      </c>
      <c r="K112" s="143">
        <f t="shared" si="208"/>
        <v>0.62</v>
      </c>
      <c r="L112" s="143">
        <f t="shared" si="208"/>
        <v>0.68</v>
      </c>
      <c r="M112" s="143">
        <f t="shared" si="208"/>
        <v>0.65</v>
      </c>
      <c r="N112" s="142">
        <f t="shared" si="208"/>
        <v>0.72</v>
      </c>
      <c r="O112" s="143">
        <f t="shared" si="208"/>
        <v>0.72</v>
      </c>
      <c r="P112" s="143">
        <f t="shared" si="208"/>
        <v>0.75</v>
      </c>
      <c r="Q112" s="143">
        <f t="shared" si="208"/>
        <v>0.75</v>
      </c>
      <c r="R112" s="142">
        <f t="shared" ref="R112:S112" si="209">+R111</f>
        <v>0.83</v>
      </c>
      <c r="S112" s="143">
        <f t="shared" si="209"/>
        <v>0.95</v>
      </c>
      <c r="T112" s="143">
        <f t="shared" ref="T112:U112" si="210">+T111</f>
        <v>0.71</v>
      </c>
      <c r="U112" s="143">
        <f t="shared" si="210"/>
        <v>0.67</v>
      </c>
      <c r="V112" s="142">
        <f t="shared" ref="V112:W112" si="211">+V111</f>
        <v>0.63</v>
      </c>
      <c r="W112" s="143">
        <f t="shared" si="211"/>
        <v>0.6</v>
      </c>
      <c r="X112" s="143">
        <f t="shared" ref="X112:AA112" si="212">+X111</f>
        <v>0.71</v>
      </c>
      <c r="Y112" s="144">
        <f t="shared" si="212"/>
        <v>0.75</v>
      </c>
      <c r="Z112" s="142">
        <f t="shared" si="212"/>
        <v>0.77</v>
      </c>
      <c r="AA112" s="143">
        <f t="shared" si="212"/>
        <v>0.68</v>
      </c>
      <c r="AB112" s="143">
        <f t="shared" ref="AB112:AE112" si="213">+AB111</f>
        <v>0.69</v>
      </c>
      <c r="AC112" s="144">
        <f t="shared" si="213"/>
        <v>0.66</v>
      </c>
      <c r="AD112" s="142">
        <f t="shared" si="213"/>
        <v>0.74</v>
      </c>
      <c r="AE112" s="143">
        <f t="shared" si="213"/>
        <v>0.69</v>
      </c>
      <c r="AF112" s="143">
        <f t="shared" ref="AF112:AI112" si="214">+AF111</f>
        <v>0.72</v>
      </c>
      <c r="AG112" s="144">
        <f t="shared" si="214"/>
        <v>0.75</v>
      </c>
      <c r="AH112" s="142">
        <f t="shared" si="214"/>
        <v>0.76</v>
      </c>
      <c r="AI112" s="143">
        <f t="shared" si="214"/>
        <v>0.75</v>
      </c>
      <c r="AJ112" s="143">
        <f t="shared" ref="AJ112:AO112" si="215">+AJ111</f>
        <v>0.76</v>
      </c>
      <c r="AK112" s="144">
        <f t="shared" si="215"/>
        <v>0.92</v>
      </c>
      <c r="AL112" s="142">
        <f t="shared" si="215"/>
        <v>0.74</v>
      </c>
      <c r="AM112" s="143">
        <f t="shared" si="215"/>
        <v>0.71</v>
      </c>
      <c r="AN112" s="143">
        <f t="shared" si="215"/>
        <v>0.72</v>
      </c>
      <c r="AO112" s="144">
        <f t="shared" si="215"/>
        <v>0.71</v>
      </c>
      <c r="AP112" s="142">
        <f t="shared" ref="AP112:AS112" si="216">+AP111</f>
        <v>0.76</v>
      </c>
      <c r="AQ112" s="143">
        <f t="shared" si="216"/>
        <v>0.7</v>
      </c>
      <c r="AR112" s="143">
        <f t="shared" si="216"/>
        <v>0</v>
      </c>
      <c r="AS112" s="144">
        <f t="shared" si="216"/>
        <v>0</v>
      </c>
      <c r="AT112" s="347"/>
      <c r="AU112" s="347"/>
      <c r="AV112" s="347"/>
      <c r="AW112" s="347"/>
      <c r="AX112" s="347"/>
      <c r="AY112" s="347"/>
      <c r="AZ112" s="347"/>
      <c r="BA112" s="347"/>
      <c r="BB112" s="347"/>
      <c r="BC112" s="347"/>
      <c r="BD112" s="347"/>
      <c r="BE112" s="347"/>
      <c r="BF112" s="347"/>
      <c r="BG112" s="347"/>
    </row>
    <row r="113" spans="1:59" s="208" customFormat="1" x14ac:dyDescent="0.25">
      <c r="A113" s="225"/>
      <c r="B113" s="292" t="s">
        <v>100</v>
      </c>
      <c r="C113" s="213"/>
      <c r="E113" s="227"/>
      <c r="F113" s="225"/>
      <c r="I113" s="227"/>
      <c r="J113" s="288"/>
      <c r="K113" s="243"/>
      <c r="L113" s="243"/>
      <c r="M113" s="243"/>
      <c r="N113" s="288"/>
      <c r="O113" s="243"/>
      <c r="P113" s="243"/>
      <c r="Q113" s="243"/>
      <c r="R113" s="288"/>
      <c r="S113" s="243"/>
      <c r="T113" s="243"/>
      <c r="U113" s="243"/>
      <c r="V113" s="288"/>
      <c r="W113" s="243"/>
      <c r="X113" s="243"/>
      <c r="Y113" s="326"/>
      <c r="Z113" s="288"/>
      <c r="AA113" s="243"/>
      <c r="AB113" s="243"/>
      <c r="AC113" s="326"/>
      <c r="AD113" s="288"/>
      <c r="AE113" s="243"/>
      <c r="AF113" s="243"/>
      <c r="AG113" s="326"/>
      <c r="AH113" s="288"/>
      <c r="AI113" s="243"/>
      <c r="AJ113" s="243"/>
      <c r="AK113" s="326"/>
      <c r="AL113" s="288"/>
      <c r="AM113" s="243"/>
      <c r="AN113" s="243"/>
      <c r="AO113" s="326"/>
      <c r="AP113" s="288"/>
      <c r="AQ113" s="243"/>
      <c r="AR113" s="243"/>
      <c r="AS113" s="326"/>
    </row>
    <row r="114" spans="1:59" s="208" customFormat="1" x14ac:dyDescent="0.25">
      <c r="A114" s="225"/>
      <c r="B114" s="227" t="s">
        <v>52</v>
      </c>
      <c r="C114" s="213">
        <v>0</v>
      </c>
      <c r="D114" s="208">
        <v>0</v>
      </c>
      <c r="E114" s="227">
        <v>0</v>
      </c>
      <c r="F114" s="225">
        <v>0</v>
      </c>
      <c r="G114" s="208">
        <v>0</v>
      </c>
      <c r="H114" s="208">
        <v>0</v>
      </c>
      <c r="I114" s="227">
        <v>0</v>
      </c>
      <c r="J114" s="288"/>
      <c r="K114" s="243"/>
      <c r="L114" s="243"/>
      <c r="M114" s="243"/>
      <c r="N114" s="288"/>
      <c r="O114" s="243"/>
      <c r="P114" s="243"/>
      <c r="Q114" s="243"/>
      <c r="R114" s="288"/>
      <c r="S114" s="243"/>
      <c r="T114" s="243"/>
      <c r="U114" s="243"/>
      <c r="V114" s="288"/>
      <c r="W114" s="243"/>
      <c r="X114" s="243"/>
      <c r="Y114" s="326"/>
      <c r="Z114" s="288"/>
      <c r="AA114" s="243"/>
      <c r="AB114" s="243"/>
      <c r="AC114" s="326"/>
      <c r="AD114" s="288"/>
      <c r="AE114" s="243"/>
      <c r="AF114" s="243"/>
      <c r="AG114" s="326"/>
      <c r="AH114" s="288"/>
      <c r="AI114" s="243"/>
      <c r="AJ114" s="243"/>
      <c r="AK114" s="326"/>
      <c r="AL114" s="288"/>
      <c r="AM114" s="243"/>
      <c r="AN114" s="243"/>
      <c r="AO114" s="326"/>
      <c r="AP114" s="288"/>
      <c r="AQ114" s="243"/>
      <c r="AR114" s="243"/>
      <c r="AS114" s="326"/>
    </row>
    <row r="115" spans="1:59" s="208" customFormat="1" x14ac:dyDescent="0.25">
      <c r="A115" s="225"/>
      <c r="B115" s="227" t="s">
        <v>53</v>
      </c>
      <c r="C115" s="213">
        <v>2575</v>
      </c>
      <c r="D115" s="253">
        <v>4801</v>
      </c>
      <c r="E115" s="352">
        <v>6297</v>
      </c>
      <c r="F115" s="226">
        <v>4328</v>
      </c>
      <c r="G115" s="253">
        <v>4570</v>
      </c>
      <c r="H115" s="253">
        <v>4971</v>
      </c>
      <c r="I115" s="352">
        <v>5574</v>
      </c>
      <c r="J115" s="211">
        <v>3723</v>
      </c>
      <c r="K115" s="242">
        <v>3995</v>
      </c>
      <c r="L115" s="242">
        <v>4851</v>
      </c>
      <c r="M115" s="242">
        <v>5009</v>
      </c>
      <c r="N115" s="211">
        <v>4878</v>
      </c>
      <c r="O115" s="242">
        <v>6864</v>
      </c>
      <c r="P115" s="242">
        <v>4146</v>
      </c>
      <c r="Q115" s="242">
        <v>4647</v>
      </c>
      <c r="R115" s="211">
        <v>9272</v>
      </c>
      <c r="S115" s="242">
        <v>6949</v>
      </c>
      <c r="T115" s="242">
        <v>10223</v>
      </c>
      <c r="U115" s="242">
        <v>12397</v>
      </c>
      <c r="V115" s="211">
        <v>10734</v>
      </c>
      <c r="W115" s="242">
        <v>11108</v>
      </c>
      <c r="X115" s="242">
        <v>13726.2</v>
      </c>
      <c r="Y115" s="407">
        <v>16928</v>
      </c>
      <c r="Z115" s="211">
        <v>15144</v>
      </c>
      <c r="AA115" s="242">
        <v>9658</v>
      </c>
      <c r="AB115" s="242">
        <v>12319</v>
      </c>
      <c r="AC115" s="407">
        <v>11239</v>
      </c>
      <c r="AD115" s="211">
        <v>13102</v>
      </c>
      <c r="AE115" s="242">
        <v>12217</v>
      </c>
      <c r="AF115" s="242">
        <v>13864</v>
      </c>
      <c r="AG115" s="407">
        <v>12618</v>
      </c>
      <c r="AH115" s="211">
        <v>11794</v>
      </c>
      <c r="AI115" s="242">
        <v>11375</v>
      </c>
      <c r="AJ115" s="242">
        <v>12441</v>
      </c>
      <c r="AK115" s="407">
        <v>10492</v>
      </c>
      <c r="AL115" s="211">
        <v>7928</v>
      </c>
      <c r="AM115" s="242">
        <v>7134</v>
      </c>
      <c r="AN115" s="242">
        <v>8717</v>
      </c>
      <c r="AO115" s="407">
        <v>8524</v>
      </c>
      <c r="AP115" s="211">
        <v>7718</v>
      </c>
      <c r="AQ115" s="242">
        <v>5203</v>
      </c>
      <c r="AR115" s="242"/>
      <c r="AS115" s="407"/>
    </row>
    <row r="116" spans="1:59" s="1" customFormat="1" x14ac:dyDescent="0.25">
      <c r="A116" s="306"/>
      <c r="B116" s="290" t="s">
        <v>54</v>
      </c>
      <c r="C116" s="139">
        <f t="shared" ref="C116:I116" si="217">+C115+C114</f>
        <v>2575</v>
      </c>
      <c r="D116" s="140">
        <f t="shared" si="217"/>
        <v>4801</v>
      </c>
      <c r="E116" s="141">
        <f t="shared" si="217"/>
        <v>6297</v>
      </c>
      <c r="F116" s="139">
        <f t="shared" si="217"/>
        <v>4328</v>
      </c>
      <c r="G116" s="140">
        <f t="shared" si="217"/>
        <v>4570</v>
      </c>
      <c r="H116" s="140">
        <f t="shared" si="217"/>
        <v>4971</v>
      </c>
      <c r="I116" s="141">
        <f t="shared" si="217"/>
        <v>5574</v>
      </c>
      <c r="J116" s="139">
        <f t="shared" ref="J116:Q116" si="218">+J115+J114</f>
        <v>3723</v>
      </c>
      <c r="K116" s="140">
        <f t="shared" si="218"/>
        <v>3995</v>
      </c>
      <c r="L116" s="140">
        <f t="shared" si="218"/>
        <v>4851</v>
      </c>
      <c r="M116" s="140">
        <f t="shared" si="218"/>
        <v>5009</v>
      </c>
      <c r="N116" s="139">
        <f t="shared" si="218"/>
        <v>4878</v>
      </c>
      <c r="O116" s="140">
        <f t="shared" si="218"/>
        <v>6864</v>
      </c>
      <c r="P116" s="140">
        <f t="shared" si="218"/>
        <v>4146</v>
      </c>
      <c r="Q116" s="140">
        <f t="shared" si="218"/>
        <v>4647</v>
      </c>
      <c r="R116" s="139">
        <f t="shared" ref="R116:S116" si="219">+R115+R114</f>
        <v>9272</v>
      </c>
      <c r="S116" s="140">
        <f t="shared" si="219"/>
        <v>6949</v>
      </c>
      <c r="T116" s="140">
        <f t="shared" ref="T116:U116" si="220">+T115+T114</f>
        <v>10223</v>
      </c>
      <c r="U116" s="140">
        <f t="shared" si="220"/>
        <v>12397</v>
      </c>
      <c r="V116" s="139">
        <f t="shared" ref="V116:W116" si="221">+V115+V114</f>
        <v>10734</v>
      </c>
      <c r="W116" s="140">
        <f t="shared" si="221"/>
        <v>11108</v>
      </c>
      <c r="X116" s="140">
        <f t="shared" ref="X116:AA116" si="222">+X115+X114</f>
        <v>13726.2</v>
      </c>
      <c r="Y116" s="141">
        <f t="shared" si="222"/>
        <v>16928</v>
      </c>
      <c r="Z116" s="139">
        <f t="shared" si="222"/>
        <v>15144</v>
      </c>
      <c r="AA116" s="140">
        <f t="shared" si="222"/>
        <v>9658</v>
      </c>
      <c r="AB116" s="140">
        <f t="shared" ref="AB116:AE116" si="223">+AB115+AB114</f>
        <v>12319</v>
      </c>
      <c r="AC116" s="141">
        <f t="shared" si="223"/>
        <v>11239</v>
      </c>
      <c r="AD116" s="139">
        <f t="shared" si="223"/>
        <v>13102</v>
      </c>
      <c r="AE116" s="140">
        <f t="shared" si="223"/>
        <v>12217</v>
      </c>
      <c r="AF116" s="140">
        <f t="shared" ref="AF116:AI116" si="224">+AF115+AF114</f>
        <v>13864</v>
      </c>
      <c r="AG116" s="141">
        <f t="shared" si="224"/>
        <v>12618</v>
      </c>
      <c r="AH116" s="139">
        <f t="shared" si="224"/>
        <v>11794</v>
      </c>
      <c r="AI116" s="140">
        <f t="shared" si="224"/>
        <v>11375</v>
      </c>
      <c r="AJ116" s="140">
        <f t="shared" ref="AJ116:AO116" si="225">+AJ115+AJ114</f>
        <v>12441</v>
      </c>
      <c r="AK116" s="141">
        <f t="shared" si="225"/>
        <v>10492</v>
      </c>
      <c r="AL116" s="139">
        <f t="shared" si="225"/>
        <v>7928</v>
      </c>
      <c r="AM116" s="140">
        <f t="shared" si="225"/>
        <v>7134</v>
      </c>
      <c r="AN116" s="140">
        <f t="shared" si="225"/>
        <v>8717</v>
      </c>
      <c r="AO116" s="141">
        <f t="shared" si="225"/>
        <v>8524</v>
      </c>
      <c r="AP116" s="139">
        <f t="shared" ref="AP116:AS116" si="226">+AP115+AP114</f>
        <v>7718</v>
      </c>
      <c r="AQ116" s="140">
        <f t="shared" si="226"/>
        <v>5203</v>
      </c>
      <c r="AR116" s="140">
        <f t="shared" si="226"/>
        <v>0</v>
      </c>
      <c r="AS116" s="141">
        <f t="shared" si="226"/>
        <v>0</v>
      </c>
      <c r="AT116" s="347"/>
      <c r="AU116" s="347"/>
      <c r="AV116" s="347"/>
      <c r="AW116" s="347"/>
      <c r="AX116" s="347"/>
      <c r="AY116" s="347"/>
      <c r="AZ116" s="347"/>
      <c r="BA116" s="347"/>
      <c r="BB116" s="347"/>
      <c r="BC116" s="347"/>
      <c r="BD116" s="347"/>
      <c r="BE116" s="347"/>
      <c r="BF116" s="347"/>
      <c r="BG116" s="347"/>
    </row>
    <row r="117" spans="1:59" s="208" customFormat="1" x14ac:dyDescent="0.25">
      <c r="A117" s="225"/>
      <c r="B117" s="292" t="s">
        <v>124</v>
      </c>
      <c r="C117" s="213"/>
      <c r="E117" s="227"/>
      <c r="F117" s="225"/>
      <c r="I117" s="227"/>
      <c r="J117" s="225"/>
      <c r="K117" s="243"/>
      <c r="L117" s="243"/>
      <c r="M117" s="243"/>
      <c r="N117" s="288"/>
      <c r="O117" s="243"/>
      <c r="P117" s="243"/>
      <c r="Q117" s="243"/>
      <c r="R117" s="288"/>
      <c r="S117" s="243"/>
      <c r="T117" s="243"/>
      <c r="U117" s="243"/>
      <c r="V117" s="288"/>
      <c r="W117" s="243"/>
      <c r="X117" s="243"/>
      <c r="Y117" s="326"/>
      <c r="Z117" s="288"/>
      <c r="AA117" s="243"/>
      <c r="AB117" s="243"/>
      <c r="AC117" s="326"/>
      <c r="AD117" s="288"/>
      <c r="AE117" s="243"/>
      <c r="AF117" s="243"/>
      <c r="AG117" s="326"/>
      <c r="AH117" s="288"/>
      <c r="AI117" s="243"/>
      <c r="AJ117" s="243"/>
      <c r="AK117" s="326"/>
      <c r="AL117" s="288"/>
      <c r="AM117" s="243"/>
      <c r="AN117" s="243"/>
      <c r="AO117" s="326"/>
      <c r="AP117" s="288"/>
      <c r="AQ117" s="243"/>
      <c r="AR117" s="243"/>
      <c r="AS117" s="326"/>
    </row>
    <row r="118" spans="1:59" s="208" customFormat="1" x14ac:dyDescent="0.25">
      <c r="A118" s="225"/>
      <c r="B118" s="227" t="s">
        <v>52</v>
      </c>
      <c r="C118" s="213">
        <v>0</v>
      </c>
      <c r="D118" s="208">
        <v>0</v>
      </c>
      <c r="E118" s="227">
        <v>0</v>
      </c>
      <c r="F118" s="225">
        <v>0</v>
      </c>
      <c r="G118" s="208">
        <v>0</v>
      </c>
      <c r="H118" s="208">
        <v>0</v>
      </c>
      <c r="I118" s="227">
        <v>0</v>
      </c>
      <c r="J118" s="288"/>
      <c r="K118" s="243"/>
      <c r="L118" s="243"/>
      <c r="M118" s="243"/>
      <c r="N118" s="288"/>
      <c r="O118" s="243"/>
      <c r="P118" s="243"/>
      <c r="Q118" s="243"/>
      <c r="R118" s="288"/>
      <c r="S118" s="243"/>
      <c r="T118" s="243"/>
      <c r="U118" s="243"/>
      <c r="V118" s="288"/>
      <c r="W118" s="243"/>
      <c r="X118" s="243"/>
      <c r="Y118" s="326"/>
      <c r="Z118" s="288"/>
      <c r="AA118" s="243"/>
      <c r="AB118" s="243"/>
      <c r="AC118" s="326"/>
      <c r="AD118" s="288"/>
      <c r="AE118" s="243"/>
      <c r="AF118" s="243"/>
      <c r="AG118" s="326"/>
      <c r="AH118" s="288"/>
      <c r="AI118" s="243"/>
      <c r="AJ118" s="243"/>
      <c r="AK118" s="326"/>
      <c r="AL118" s="288"/>
      <c r="AM118" s="243"/>
      <c r="AN118" s="243"/>
      <c r="AO118" s="326"/>
      <c r="AP118" s="288"/>
      <c r="AQ118" s="243"/>
      <c r="AR118" s="243"/>
      <c r="AS118" s="326"/>
    </row>
    <row r="119" spans="1:59" s="208" customFormat="1" x14ac:dyDescent="0.25">
      <c r="A119" s="225"/>
      <c r="B119" s="227" t="s">
        <v>53</v>
      </c>
      <c r="C119" s="213">
        <v>19</v>
      </c>
      <c r="D119" s="208">
        <v>16</v>
      </c>
      <c r="E119" s="227">
        <v>11</v>
      </c>
      <c r="F119" s="349">
        <f>(-+F125/F108*1000)</f>
        <v>13.201320132013201</v>
      </c>
      <c r="G119" s="366">
        <f>(-+G125/G108*1000)</f>
        <v>15.154440154440154</v>
      </c>
      <c r="H119" s="208">
        <v>15</v>
      </c>
      <c r="I119" s="227">
        <v>22</v>
      </c>
      <c r="J119" s="360">
        <f>(-+J125/J108*1000)</f>
        <v>18.116805721096544</v>
      </c>
      <c r="K119" s="359">
        <v>16</v>
      </c>
      <c r="L119" s="243">
        <v>23</v>
      </c>
      <c r="M119" s="243">
        <v>22</v>
      </c>
      <c r="N119" s="288">
        <v>26</v>
      </c>
      <c r="O119" s="243">
        <v>25</v>
      </c>
      <c r="P119" s="243">
        <v>27</v>
      </c>
      <c r="Q119" s="359">
        <v>28</v>
      </c>
      <c r="R119" s="360">
        <v>41</v>
      </c>
      <c r="S119" s="243">
        <v>55</v>
      </c>
      <c r="T119" s="243">
        <v>51</v>
      </c>
      <c r="U119" s="243">
        <v>44</v>
      </c>
      <c r="V119" s="288">
        <v>43</v>
      </c>
      <c r="W119" s="243">
        <v>46</v>
      </c>
      <c r="X119" s="243">
        <v>48</v>
      </c>
      <c r="Y119" s="326">
        <v>63</v>
      </c>
      <c r="Z119" s="288">
        <v>53</v>
      </c>
      <c r="AA119" s="243">
        <v>53</v>
      </c>
      <c r="AB119" s="243">
        <v>58</v>
      </c>
      <c r="AC119" s="326">
        <v>61</v>
      </c>
      <c r="AD119" s="288">
        <v>60</v>
      </c>
      <c r="AE119" s="243">
        <v>59</v>
      </c>
      <c r="AF119" s="243">
        <v>66</v>
      </c>
      <c r="AG119" s="326">
        <v>69</v>
      </c>
      <c r="AH119" s="288">
        <v>76</v>
      </c>
      <c r="AI119" s="243">
        <v>72</v>
      </c>
      <c r="AJ119" s="243">
        <v>75</v>
      </c>
      <c r="AK119" s="326">
        <v>91</v>
      </c>
      <c r="AL119" s="288">
        <v>69</v>
      </c>
      <c r="AM119" s="243">
        <v>75</v>
      </c>
      <c r="AN119" s="243">
        <v>77</v>
      </c>
      <c r="AO119" s="326">
        <v>84</v>
      </c>
      <c r="AP119" s="288">
        <v>109</v>
      </c>
      <c r="AQ119" s="243">
        <v>111</v>
      </c>
      <c r="AR119" s="243"/>
      <c r="AS119" s="326"/>
    </row>
    <row r="120" spans="1:59" s="1" customFormat="1" x14ac:dyDescent="0.25">
      <c r="A120" s="306"/>
      <c r="B120" s="290" t="s">
        <v>54</v>
      </c>
      <c r="C120" s="139">
        <f t="shared" ref="C120:I120" si="227">+((C118*C106)+(C119*C107))/(C108)</f>
        <v>19</v>
      </c>
      <c r="D120" s="140">
        <f t="shared" si="227"/>
        <v>16</v>
      </c>
      <c r="E120" s="141">
        <f t="shared" si="227"/>
        <v>11</v>
      </c>
      <c r="F120" s="139">
        <f t="shared" si="227"/>
        <v>13.201320132013201</v>
      </c>
      <c r="G120" s="140">
        <f t="shared" si="227"/>
        <v>15.154440154440154</v>
      </c>
      <c r="H120" s="140">
        <f t="shared" si="227"/>
        <v>15</v>
      </c>
      <c r="I120" s="141">
        <f t="shared" si="227"/>
        <v>22</v>
      </c>
      <c r="J120" s="139">
        <f t="shared" ref="J120:Q120" si="228">+((J118*J106)+(J119*J107))/(J108)</f>
        <v>18.116805721096544</v>
      </c>
      <c r="K120" s="140">
        <f t="shared" si="228"/>
        <v>16</v>
      </c>
      <c r="L120" s="140">
        <f t="shared" si="228"/>
        <v>23</v>
      </c>
      <c r="M120" s="140">
        <f t="shared" si="228"/>
        <v>22</v>
      </c>
      <c r="N120" s="139">
        <f t="shared" si="228"/>
        <v>26</v>
      </c>
      <c r="O120" s="140">
        <f t="shared" si="228"/>
        <v>25</v>
      </c>
      <c r="P120" s="140">
        <f t="shared" si="228"/>
        <v>27</v>
      </c>
      <c r="Q120" s="140">
        <f t="shared" si="228"/>
        <v>28</v>
      </c>
      <c r="R120" s="139">
        <f t="shared" ref="R120:S120" si="229">+((R118*R106)+(R119*R107))/(R108)</f>
        <v>41</v>
      </c>
      <c r="S120" s="140">
        <f t="shared" si="229"/>
        <v>55</v>
      </c>
      <c r="T120" s="140">
        <f t="shared" ref="T120:U120" si="230">+((T118*T106)+(T119*T107))/(T108)</f>
        <v>51</v>
      </c>
      <c r="U120" s="140">
        <f t="shared" si="230"/>
        <v>44</v>
      </c>
      <c r="V120" s="139">
        <f t="shared" ref="V120:W120" si="231">+((V118*V106)+(V119*V107))/(V108)</f>
        <v>43</v>
      </c>
      <c r="W120" s="140">
        <f t="shared" si="231"/>
        <v>46</v>
      </c>
      <c r="X120" s="140">
        <f t="shared" ref="X120:AA120" si="232">+((X118*X106)+(X119*X107))/(X108)</f>
        <v>48</v>
      </c>
      <c r="Y120" s="141">
        <f t="shared" si="232"/>
        <v>63</v>
      </c>
      <c r="Z120" s="139">
        <f t="shared" si="232"/>
        <v>53</v>
      </c>
      <c r="AA120" s="140">
        <f t="shared" si="232"/>
        <v>53</v>
      </c>
      <c r="AB120" s="140">
        <f t="shared" ref="AB120:AE120" si="233">+((AB118*AB106)+(AB119*AB107))/(AB108)</f>
        <v>58</v>
      </c>
      <c r="AC120" s="141">
        <f t="shared" si="233"/>
        <v>61</v>
      </c>
      <c r="AD120" s="139">
        <f t="shared" si="233"/>
        <v>60</v>
      </c>
      <c r="AE120" s="140">
        <f t="shared" si="233"/>
        <v>59</v>
      </c>
      <c r="AF120" s="140">
        <f t="shared" ref="AF120:AI120" si="234">+((AF118*AF106)+(AF119*AF107))/(AF108)</f>
        <v>66</v>
      </c>
      <c r="AG120" s="141">
        <f t="shared" si="234"/>
        <v>69</v>
      </c>
      <c r="AH120" s="139">
        <f t="shared" si="234"/>
        <v>76</v>
      </c>
      <c r="AI120" s="140">
        <f t="shared" si="234"/>
        <v>72</v>
      </c>
      <c r="AJ120" s="140">
        <f t="shared" ref="AJ120:AO120" si="235">+((AJ118*AJ106)+(AJ119*AJ107))/(AJ108)</f>
        <v>75</v>
      </c>
      <c r="AK120" s="141">
        <f t="shared" si="235"/>
        <v>91</v>
      </c>
      <c r="AL120" s="139">
        <f t="shared" si="235"/>
        <v>69</v>
      </c>
      <c r="AM120" s="140">
        <f t="shared" si="235"/>
        <v>75</v>
      </c>
      <c r="AN120" s="140">
        <f t="shared" si="235"/>
        <v>77</v>
      </c>
      <c r="AO120" s="141">
        <f t="shared" si="235"/>
        <v>84</v>
      </c>
      <c r="AP120" s="139">
        <f t="shared" ref="AP120:AS120" si="236">+((AP118*AP106)+(AP119*AP107))/(AP108)</f>
        <v>109</v>
      </c>
      <c r="AQ120" s="140">
        <f t="shared" si="236"/>
        <v>111</v>
      </c>
      <c r="AR120" s="140" t="e">
        <f t="shared" si="236"/>
        <v>#DIV/0!</v>
      </c>
      <c r="AS120" s="141" t="e">
        <f t="shared" si="236"/>
        <v>#DIV/0!</v>
      </c>
      <c r="AT120" s="347"/>
      <c r="AU120" s="347"/>
      <c r="AV120" s="347"/>
      <c r="AW120" s="347"/>
      <c r="AX120" s="347"/>
      <c r="AY120" s="347"/>
      <c r="AZ120" s="347"/>
      <c r="BA120" s="347"/>
      <c r="BB120" s="347"/>
      <c r="BC120" s="347"/>
      <c r="BD120" s="347"/>
      <c r="BE120" s="347"/>
      <c r="BF120" s="347"/>
      <c r="BG120" s="347"/>
    </row>
    <row r="121" spans="1:59" s="208" customFormat="1" x14ac:dyDescent="0.25">
      <c r="A121" s="225"/>
      <c r="B121" s="227"/>
      <c r="C121" s="225"/>
      <c r="E121" s="227"/>
      <c r="F121" s="225"/>
      <c r="I121" s="227"/>
      <c r="J121" s="225"/>
      <c r="L121" s="243"/>
      <c r="N121" s="225"/>
      <c r="R121" s="225"/>
      <c r="V121" s="225"/>
      <c r="Y121" s="227"/>
      <c r="Z121" s="225"/>
      <c r="AC121" s="227"/>
      <c r="AD121" s="225"/>
      <c r="AG121" s="227"/>
      <c r="AH121" s="225"/>
      <c r="AK121" s="227"/>
      <c r="AL121" s="225"/>
      <c r="AO121" s="227"/>
      <c r="AP121" s="225"/>
      <c r="AS121" s="227"/>
    </row>
    <row r="122" spans="1:59" s="208" customFormat="1" ht="15.75" x14ac:dyDescent="0.25">
      <c r="A122" s="225"/>
      <c r="B122" s="328"/>
      <c r="C122" s="213"/>
      <c r="E122" s="227"/>
      <c r="F122" s="225"/>
      <c r="I122" s="227"/>
      <c r="J122" s="225"/>
      <c r="L122" s="243"/>
      <c r="N122" s="225"/>
      <c r="R122" s="225"/>
      <c r="V122" s="225"/>
      <c r="Y122" s="227"/>
      <c r="Z122" s="225"/>
      <c r="AC122" s="227"/>
      <c r="AD122" s="225"/>
      <c r="AG122" s="227"/>
      <c r="AH122" s="225"/>
      <c r="AK122" s="227"/>
      <c r="AL122" s="225"/>
      <c r="AO122" s="227"/>
      <c r="AP122" s="225"/>
      <c r="AS122" s="227"/>
    </row>
    <row r="123" spans="1:59" s="208" customFormat="1" x14ac:dyDescent="0.25">
      <c r="A123" s="225"/>
      <c r="B123" s="292" t="s">
        <v>135</v>
      </c>
      <c r="C123" s="213"/>
      <c r="E123" s="227"/>
      <c r="F123" s="225"/>
      <c r="I123" s="227"/>
      <c r="J123" s="225"/>
      <c r="L123" s="243"/>
      <c r="N123" s="225"/>
      <c r="R123" s="225"/>
      <c r="V123" s="225"/>
      <c r="Y123" s="227"/>
      <c r="Z123" s="225"/>
      <c r="AC123" s="227"/>
      <c r="AD123" s="225"/>
      <c r="AG123" s="227"/>
      <c r="AH123" s="225"/>
      <c r="AK123" s="227"/>
      <c r="AL123" s="225"/>
      <c r="AO123" s="227"/>
      <c r="AP123" s="225"/>
      <c r="AS123" s="227"/>
    </row>
    <row r="124" spans="1:59" s="208" customFormat="1" x14ac:dyDescent="0.25">
      <c r="A124" s="225"/>
      <c r="B124" s="250" t="s">
        <v>66</v>
      </c>
      <c r="C124" s="210">
        <v>29.4</v>
      </c>
      <c r="D124" s="208">
        <v>53.9</v>
      </c>
      <c r="E124" s="227">
        <v>47.8</v>
      </c>
      <c r="F124" s="569">
        <v>42.8</v>
      </c>
      <c r="G124" s="208">
        <v>41.3</v>
      </c>
      <c r="H124" s="208">
        <v>53.6</v>
      </c>
      <c r="I124" s="227">
        <v>56.4</v>
      </c>
      <c r="J124" s="288">
        <v>37.799999999999997</v>
      </c>
      <c r="K124" s="243">
        <v>46.6</v>
      </c>
      <c r="L124" s="243">
        <v>51.9</v>
      </c>
      <c r="M124" s="243">
        <v>60.4</v>
      </c>
      <c r="N124" s="288">
        <v>68.5</v>
      </c>
      <c r="O124" s="243">
        <f>80.2+0.1</f>
        <v>80.3</v>
      </c>
      <c r="P124" s="243">
        <v>79.5</v>
      </c>
      <c r="Q124" s="243">
        <v>72.400000000000006</v>
      </c>
      <c r="R124" s="211">
        <v>240</v>
      </c>
      <c r="S124" s="242">
        <v>133</v>
      </c>
      <c r="T124" s="242">
        <v>236</v>
      </c>
      <c r="U124" s="407">
        <v>341</v>
      </c>
      <c r="V124" s="211">
        <v>417</v>
      </c>
      <c r="W124" s="242">
        <v>343</v>
      </c>
      <c r="X124" s="242">
        <v>295</v>
      </c>
      <c r="Y124" s="407">
        <v>448</v>
      </c>
      <c r="Z124" s="242">
        <v>599</v>
      </c>
      <c r="AA124" s="242">
        <v>175</v>
      </c>
      <c r="AB124" s="242">
        <v>348</v>
      </c>
      <c r="AC124" s="407">
        <v>315</v>
      </c>
      <c r="AD124" s="242">
        <v>283</v>
      </c>
      <c r="AE124" s="242">
        <v>254</v>
      </c>
      <c r="AF124" s="242">
        <v>248</v>
      </c>
      <c r="AG124" s="407">
        <v>241</v>
      </c>
      <c r="AH124" s="242">
        <v>274</v>
      </c>
      <c r="AI124" s="242">
        <v>291</v>
      </c>
      <c r="AJ124" s="242">
        <v>392</v>
      </c>
      <c r="AK124" s="407">
        <v>293</v>
      </c>
      <c r="AL124" s="242">
        <v>243</v>
      </c>
      <c r="AM124" s="242">
        <v>288</v>
      </c>
      <c r="AN124" s="242">
        <v>299</v>
      </c>
      <c r="AO124" s="407">
        <v>418</v>
      </c>
      <c r="AP124" s="242">
        <v>371</v>
      </c>
      <c r="AQ124" s="242">
        <v>175</v>
      </c>
      <c r="AR124" s="242"/>
      <c r="AS124" s="407"/>
    </row>
    <row r="125" spans="1:59" s="208" customFormat="1" x14ac:dyDescent="0.25">
      <c r="A125" s="225"/>
      <c r="B125" s="250" t="s">
        <v>132</v>
      </c>
      <c r="C125" s="276">
        <v>-29</v>
      </c>
      <c r="D125" s="244">
        <v>-36.6</v>
      </c>
      <c r="E125" s="315">
        <v>-25.2</v>
      </c>
      <c r="F125" s="570">
        <v>-28</v>
      </c>
      <c r="G125" s="244">
        <v>-31.4</v>
      </c>
      <c r="H125" s="244">
        <v>-34.1</v>
      </c>
      <c r="I125" s="315">
        <v>-36.299999999999997</v>
      </c>
      <c r="J125" s="276">
        <v>-30.4</v>
      </c>
      <c r="K125" s="244">
        <v>-33.200000000000003</v>
      </c>
      <c r="L125" s="244">
        <v>-42.6</v>
      </c>
      <c r="M125" s="244">
        <v>-46.4</v>
      </c>
      <c r="N125" s="276">
        <v>-47.4</v>
      </c>
      <c r="O125" s="244">
        <v>-56.5</v>
      </c>
      <c r="P125" s="244">
        <v>-56.8</v>
      </c>
      <c r="Q125" s="244">
        <v>-52.9</v>
      </c>
      <c r="R125" s="361">
        <v>-73</v>
      </c>
      <c r="S125" s="417">
        <v>-85</v>
      </c>
      <c r="T125" s="417">
        <v>-130</v>
      </c>
      <c r="U125" s="431">
        <v>-115</v>
      </c>
      <c r="V125" s="361">
        <v>-108</v>
      </c>
      <c r="W125" s="417">
        <v>-121</v>
      </c>
      <c r="X125" s="417">
        <v>-140</v>
      </c>
      <c r="Y125" s="431">
        <v>-162</v>
      </c>
      <c r="Z125" s="417">
        <v>-132</v>
      </c>
      <c r="AA125" s="417">
        <v>-142</v>
      </c>
      <c r="AB125" s="417">
        <v>-159</v>
      </c>
      <c r="AC125" s="431">
        <v>-150</v>
      </c>
      <c r="AD125" s="417">
        <v>-151</v>
      </c>
      <c r="AE125" s="417">
        <v>-156</v>
      </c>
      <c r="AF125" s="417">
        <v>-175</v>
      </c>
      <c r="AG125" s="431">
        <v>-159</v>
      </c>
      <c r="AH125" s="417">
        <v>-177</v>
      </c>
      <c r="AI125" s="417">
        <v>-212</v>
      </c>
      <c r="AJ125" s="417">
        <v>-233</v>
      </c>
      <c r="AK125" s="431">
        <v>-204</v>
      </c>
      <c r="AL125" s="417">
        <v>-205</v>
      </c>
      <c r="AM125" s="417">
        <v>-232</v>
      </c>
      <c r="AN125" s="417">
        <v>-227</v>
      </c>
      <c r="AO125" s="431">
        <v>-260</v>
      </c>
      <c r="AP125" s="417">
        <v>-205</v>
      </c>
      <c r="AQ125" s="417">
        <v>-186</v>
      </c>
      <c r="AR125" s="417"/>
      <c r="AS125" s="431"/>
    </row>
    <row r="126" spans="1:59" s="208" customFormat="1" x14ac:dyDescent="0.25">
      <c r="A126" s="225"/>
      <c r="B126" s="250"/>
      <c r="C126" s="210">
        <f t="shared" ref="C126:H126" si="237">+C125+C124</f>
        <v>0.39999999999999858</v>
      </c>
      <c r="D126" s="221">
        <f t="shared" si="237"/>
        <v>17.299999999999997</v>
      </c>
      <c r="E126" s="222">
        <f t="shared" si="237"/>
        <v>22.599999999999998</v>
      </c>
      <c r="F126" s="571">
        <f t="shared" si="237"/>
        <v>14.799999999999997</v>
      </c>
      <c r="G126" s="221">
        <f t="shared" si="237"/>
        <v>9.8999999999999986</v>
      </c>
      <c r="H126" s="221">
        <f t="shared" si="237"/>
        <v>19.5</v>
      </c>
      <c r="I126" s="222">
        <f t="shared" ref="I126:Q126" si="238">+I125+I124</f>
        <v>20.100000000000001</v>
      </c>
      <c r="J126" s="210">
        <f t="shared" si="238"/>
        <v>7.3999999999999986</v>
      </c>
      <c r="K126" s="221">
        <f t="shared" si="238"/>
        <v>13.399999999999999</v>
      </c>
      <c r="L126" s="221">
        <f t="shared" si="238"/>
        <v>9.2999999999999972</v>
      </c>
      <c r="M126" s="221">
        <f t="shared" si="238"/>
        <v>14</v>
      </c>
      <c r="N126" s="210">
        <f t="shared" si="238"/>
        <v>21.1</v>
      </c>
      <c r="O126" s="221">
        <f t="shared" si="238"/>
        <v>23.799999999999997</v>
      </c>
      <c r="P126" s="221">
        <f t="shared" si="238"/>
        <v>22.700000000000003</v>
      </c>
      <c r="Q126" s="221">
        <f t="shared" si="238"/>
        <v>19.500000000000007</v>
      </c>
      <c r="R126" s="425">
        <f t="shared" ref="R126:S126" si="239">+R125+R124</f>
        <v>167</v>
      </c>
      <c r="S126" s="359">
        <f t="shared" si="239"/>
        <v>48</v>
      </c>
      <c r="T126" s="426">
        <f t="shared" ref="T126:U126" si="240">+T125+T124</f>
        <v>106</v>
      </c>
      <c r="U126" s="432">
        <f t="shared" si="240"/>
        <v>226</v>
      </c>
      <c r="V126" s="425">
        <f t="shared" ref="V126:W126" si="241">+V125+V124</f>
        <v>309</v>
      </c>
      <c r="W126" s="426">
        <f t="shared" si="241"/>
        <v>222</v>
      </c>
      <c r="X126" s="426">
        <f t="shared" ref="X126:AA126" si="242">+X125+X124</f>
        <v>155</v>
      </c>
      <c r="Y126" s="432">
        <f t="shared" si="242"/>
        <v>286</v>
      </c>
      <c r="Z126" s="426">
        <f t="shared" si="242"/>
        <v>467</v>
      </c>
      <c r="AA126" s="426">
        <f t="shared" si="242"/>
        <v>33</v>
      </c>
      <c r="AB126" s="426">
        <f t="shared" ref="AB126:AE126" si="243">+AB125+AB124</f>
        <v>189</v>
      </c>
      <c r="AC126" s="432">
        <f t="shared" si="243"/>
        <v>165</v>
      </c>
      <c r="AD126" s="426">
        <f t="shared" si="243"/>
        <v>132</v>
      </c>
      <c r="AE126" s="426">
        <f t="shared" si="243"/>
        <v>98</v>
      </c>
      <c r="AF126" s="426">
        <f t="shared" ref="AF126:AI126" si="244">+AF125+AF124</f>
        <v>73</v>
      </c>
      <c r="AG126" s="432">
        <f t="shared" si="244"/>
        <v>82</v>
      </c>
      <c r="AH126" s="426">
        <f t="shared" si="244"/>
        <v>97</v>
      </c>
      <c r="AI126" s="426">
        <f t="shared" si="244"/>
        <v>79</v>
      </c>
      <c r="AJ126" s="426">
        <f t="shared" ref="AJ126:AO126" si="245">+AJ125+AJ124</f>
        <v>159</v>
      </c>
      <c r="AK126" s="432">
        <f t="shared" si="245"/>
        <v>89</v>
      </c>
      <c r="AL126" s="426">
        <f t="shared" si="245"/>
        <v>38</v>
      </c>
      <c r="AM126" s="426">
        <f t="shared" si="245"/>
        <v>56</v>
      </c>
      <c r="AN126" s="426">
        <f t="shared" si="245"/>
        <v>72</v>
      </c>
      <c r="AO126" s="432">
        <f t="shared" si="245"/>
        <v>158</v>
      </c>
      <c r="AP126" s="426">
        <f t="shared" ref="AP126:AS126" si="246">+AP125+AP124</f>
        <v>166</v>
      </c>
      <c r="AQ126" s="214">
        <f t="shared" si="246"/>
        <v>-11</v>
      </c>
      <c r="AR126" s="426">
        <f t="shared" si="246"/>
        <v>0</v>
      </c>
      <c r="AS126" s="432">
        <f t="shared" si="246"/>
        <v>0</v>
      </c>
    </row>
    <row r="127" spans="1:59" s="208" customFormat="1" x14ac:dyDescent="0.25">
      <c r="A127" s="225"/>
      <c r="B127" s="250" t="s">
        <v>67</v>
      </c>
      <c r="C127" s="210">
        <v>-0.4</v>
      </c>
      <c r="D127" s="221">
        <v>-0.4</v>
      </c>
      <c r="E127" s="222">
        <v>-0.4</v>
      </c>
      <c r="F127" s="571">
        <v>-0.4</v>
      </c>
      <c r="G127" s="221">
        <v>-0.5</v>
      </c>
      <c r="H127" s="221">
        <v>-0.6</v>
      </c>
      <c r="I127" s="222">
        <v>-0.6</v>
      </c>
      <c r="J127" s="210">
        <v>-0.6</v>
      </c>
      <c r="K127" s="221">
        <v>-0.6</v>
      </c>
      <c r="L127" s="221">
        <v>-0.6</v>
      </c>
      <c r="M127" s="221">
        <v>-1.1000000000000001</v>
      </c>
      <c r="N127" s="210">
        <v>-1.1000000000000001</v>
      </c>
      <c r="O127" s="221">
        <v>-1.2</v>
      </c>
      <c r="P127" s="221">
        <v>-1.2</v>
      </c>
      <c r="Q127" s="221">
        <v>-1.2</v>
      </c>
      <c r="R127" s="213">
        <v>-1</v>
      </c>
      <c r="S127" s="214">
        <v>-3</v>
      </c>
      <c r="T127" s="214">
        <v>-3</v>
      </c>
      <c r="U127" s="259">
        <v>-27</v>
      </c>
      <c r="V127" s="213">
        <v>-4</v>
      </c>
      <c r="W127" s="214">
        <v>-8</v>
      </c>
      <c r="X127" s="214">
        <v>-9</v>
      </c>
      <c r="Y127" s="259">
        <v>-9</v>
      </c>
      <c r="Z127" s="214">
        <v>-10</v>
      </c>
      <c r="AA127" s="214">
        <v>-10</v>
      </c>
      <c r="AB127" s="214">
        <v>-10</v>
      </c>
      <c r="AC127" s="259">
        <v>-10</v>
      </c>
      <c r="AD127" s="214">
        <v>-11</v>
      </c>
      <c r="AE127" s="214">
        <v>-11</v>
      </c>
      <c r="AF127" s="214">
        <v>-11</v>
      </c>
      <c r="AG127" s="259">
        <v>-15</v>
      </c>
      <c r="AH127" s="214">
        <v>-10</v>
      </c>
      <c r="AI127" s="214">
        <v>-10</v>
      </c>
      <c r="AJ127" s="214">
        <v>-11</v>
      </c>
      <c r="AK127" s="259">
        <v>-12</v>
      </c>
      <c r="AL127" s="214">
        <v>-11</v>
      </c>
      <c r="AM127" s="214">
        <v>-11</v>
      </c>
      <c r="AN127" s="214">
        <v>-12</v>
      </c>
      <c r="AO127" s="259">
        <v>-12</v>
      </c>
      <c r="AP127" s="214">
        <v>-40</v>
      </c>
      <c r="AQ127" s="214">
        <v>-40</v>
      </c>
      <c r="AR127" s="214"/>
      <c r="AS127" s="259"/>
    </row>
    <row r="128" spans="1:59" s="208" customFormat="1" x14ac:dyDescent="0.25">
      <c r="A128" s="225"/>
      <c r="B128" s="250" t="s">
        <v>68</v>
      </c>
      <c r="C128" s="210">
        <v>0.1</v>
      </c>
      <c r="D128" s="221">
        <f>-16.9+17.2</f>
        <v>0.30000000000000071</v>
      </c>
      <c r="E128" s="222">
        <f>-9.7-0.3</f>
        <v>-10</v>
      </c>
      <c r="F128" s="571">
        <f>-14.4+14.1</f>
        <v>-0.30000000000000071</v>
      </c>
      <c r="G128" s="221">
        <f>-9.4-6.9</f>
        <v>-16.3</v>
      </c>
      <c r="H128" s="221">
        <v>1</v>
      </c>
      <c r="I128" s="222">
        <v>5.2</v>
      </c>
      <c r="J128" s="210">
        <v>0.4</v>
      </c>
      <c r="K128" s="221">
        <v>0.5</v>
      </c>
      <c r="L128" s="221">
        <f>-0.3+0.4</f>
        <v>0.10000000000000003</v>
      </c>
      <c r="M128" s="221">
        <v>-0.2</v>
      </c>
      <c r="N128" s="210">
        <f>-4.2+0.2</f>
        <v>-4</v>
      </c>
      <c r="O128" s="221">
        <f>-8.7+0.1+0.2</f>
        <v>-8.4</v>
      </c>
      <c r="P128" s="221">
        <f>-9.2+0.5</f>
        <v>-8.6999999999999993</v>
      </c>
      <c r="Q128" s="221">
        <f>-3.2+0.9</f>
        <v>-2.3000000000000003</v>
      </c>
      <c r="R128" s="213">
        <v>-76</v>
      </c>
      <c r="S128" s="214">
        <v>-17</v>
      </c>
      <c r="T128" s="214">
        <v>-46</v>
      </c>
      <c r="U128" s="259">
        <v>-113</v>
      </c>
      <c r="V128" s="213">
        <v>-149</v>
      </c>
      <c r="W128" s="214">
        <v>-108</v>
      </c>
      <c r="X128" s="214">
        <v>-74</v>
      </c>
      <c r="Y128" s="259">
        <v>-119</v>
      </c>
      <c r="Z128" s="214">
        <v>-248</v>
      </c>
      <c r="AA128" s="214">
        <v>12</v>
      </c>
      <c r="AB128" s="214">
        <v>-61</v>
      </c>
      <c r="AC128" s="259">
        <v>-77</v>
      </c>
      <c r="AD128" s="214">
        <v>-46</v>
      </c>
      <c r="AE128" s="214">
        <v>-44</v>
      </c>
      <c r="AF128" s="214">
        <v>-50</v>
      </c>
      <c r="AG128" s="259">
        <v>-68</v>
      </c>
      <c r="AH128" s="214">
        <v>-41</v>
      </c>
      <c r="AI128" s="214">
        <v>-46</v>
      </c>
      <c r="AJ128" s="214">
        <v>-87</v>
      </c>
      <c r="AK128" s="259">
        <v>-35</v>
      </c>
      <c r="AL128" s="214">
        <v>-17</v>
      </c>
      <c r="AM128" s="214">
        <v>-29</v>
      </c>
      <c r="AN128" s="214">
        <v>-38</v>
      </c>
      <c r="AO128" s="259">
        <v>-90</v>
      </c>
      <c r="AP128" s="214">
        <v>-70</v>
      </c>
      <c r="AQ128" s="214">
        <v>8</v>
      </c>
      <c r="AR128" s="214"/>
      <c r="AS128" s="259"/>
    </row>
    <row r="129" spans="1:59" s="208" customFormat="1" x14ac:dyDescent="0.25">
      <c r="A129" s="225"/>
      <c r="B129" s="250" t="s">
        <v>179</v>
      </c>
      <c r="C129" s="210">
        <v>0</v>
      </c>
      <c r="D129" s="221">
        <v>0</v>
      </c>
      <c r="E129" s="222">
        <v>0</v>
      </c>
      <c r="F129" s="707">
        <v>0</v>
      </c>
      <c r="G129" s="681">
        <v>0</v>
      </c>
      <c r="H129" s="681">
        <v>0</v>
      </c>
      <c r="I129" s="682">
        <v>0</v>
      </c>
      <c r="J129" s="693">
        <v>0</v>
      </c>
      <c r="K129" s="681">
        <v>0</v>
      </c>
      <c r="L129" s="681">
        <v>0</v>
      </c>
      <c r="M129" s="681">
        <v>0</v>
      </c>
      <c r="N129" s="693">
        <v>0</v>
      </c>
      <c r="O129" s="681">
        <v>0</v>
      </c>
      <c r="P129" s="681">
        <v>0</v>
      </c>
      <c r="Q129" s="681">
        <v>0</v>
      </c>
      <c r="R129" s="693">
        <v>0</v>
      </c>
      <c r="S129" s="681">
        <v>0</v>
      </c>
      <c r="T129" s="681">
        <v>0</v>
      </c>
      <c r="U129" s="682">
        <v>0</v>
      </c>
      <c r="V129" s="693">
        <v>0</v>
      </c>
      <c r="W129" s="681">
        <v>0</v>
      </c>
      <c r="X129" s="681">
        <v>0</v>
      </c>
      <c r="Y129" s="682">
        <v>0</v>
      </c>
      <c r="Z129" s="681">
        <v>0</v>
      </c>
      <c r="AA129" s="681">
        <v>0</v>
      </c>
      <c r="AB129" s="681">
        <v>0</v>
      </c>
      <c r="AC129" s="682">
        <v>0</v>
      </c>
      <c r="AD129" s="681">
        <v>0</v>
      </c>
      <c r="AE129" s="681">
        <v>0</v>
      </c>
      <c r="AF129" s="681">
        <v>0</v>
      </c>
      <c r="AG129" s="682">
        <v>0</v>
      </c>
      <c r="AH129" s="681">
        <v>0</v>
      </c>
      <c r="AI129" s="681">
        <v>0</v>
      </c>
      <c r="AJ129" s="681">
        <v>0</v>
      </c>
      <c r="AK129" s="682">
        <v>0</v>
      </c>
      <c r="AL129" s="681">
        <v>0</v>
      </c>
      <c r="AM129" s="681">
        <v>0</v>
      </c>
      <c r="AN129" s="681">
        <v>0</v>
      </c>
      <c r="AO129" s="682">
        <v>0</v>
      </c>
      <c r="AP129" s="681">
        <v>0</v>
      </c>
      <c r="AQ129" s="681">
        <v>0</v>
      </c>
      <c r="AR129" s="681"/>
      <c r="AS129" s="682"/>
    </row>
    <row r="130" spans="1:59" s="208" customFormat="1" x14ac:dyDescent="0.25">
      <c r="A130" s="225"/>
      <c r="B130" s="250" t="s">
        <v>69</v>
      </c>
      <c r="C130" s="210">
        <v>-0.3</v>
      </c>
      <c r="D130" s="221">
        <v>-5.0999999999999996</v>
      </c>
      <c r="E130" s="222">
        <v>-6.2</v>
      </c>
      <c r="F130" s="570">
        <v>0.4</v>
      </c>
      <c r="G130" s="221">
        <v>1.9</v>
      </c>
      <c r="H130" s="221">
        <v>-4.9000000000000004</v>
      </c>
      <c r="I130" s="222">
        <v>-11</v>
      </c>
      <c r="J130" s="210">
        <v>-2</v>
      </c>
      <c r="K130" s="221">
        <v>-3.1</v>
      </c>
      <c r="L130" s="221">
        <v>-3</v>
      </c>
      <c r="M130" s="221">
        <v>-1.1000000000000001</v>
      </c>
      <c r="N130" s="210">
        <v>-4.5</v>
      </c>
      <c r="O130" s="221">
        <v>-4</v>
      </c>
      <c r="P130" s="221">
        <v>-3.5</v>
      </c>
      <c r="Q130" s="221">
        <v>-4.5</v>
      </c>
      <c r="R130" s="213">
        <v>-25</v>
      </c>
      <c r="S130" s="214">
        <v>-8</v>
      </c>
      <c r="T130" s="214">
        <v>-16</v>
      </c>
      <c r="U130" s="431">
        <v>-24</v>
      </c>
      <c r="V130" s="361">
        <v>-40</v>
      </c>
      <c r="W130" s="214">
        <v>-34</v>
      </c>
      <c r="X130" s="214">
        <v>-20</v>
      </c>
      <c r="Y130" s="259">
        <v>-44</v>
      </c>
      <c r="Z130" s="214">
        <v>-58</v>
      </c>
      <c r="AA130" s="214">
        <v>-9</v>
      </c>
      <c r="AB130" s="214">
        <v>-33</v>
      </c>
      <c r="AC130" s="259">
        <v>-21</v>
      </c>
      <c r="AD130" s="214">
        <v>-21</v>
      </c>
      <c r="AE130" s="214">
        <v>-12</v>
      </c>
      <c r="AF130" s="214">
        <v>-2</v>
      </c>
      <c r="AG130" s="259">
        <v>0</v>
      </c>
      <c r="AH130" s="214">
        <v>-12</v>
      </c>
      <c r="AI130" s="214">
        <v>-6</v>
      </c>
      <c r="AJ130" s="214">
        <v>-16</v>
      </c>
      <c r="AK130" s="259">
        <v>-12</v>
      </c>
      <c r="AL130" s="214">
        <v>-3</v>
      </c>
      <c r="AM130" s="214">
        <v>-4</v>
      </c>
      <c r="AN130" s="214">
        <v>-6</v>
      </c>
      <c r="AO130" s="259">
        <v>-15</v>
      </c>
      <c r="AP130" s="214">
        <v>-15</v>
      </c>
      <c r="AQ130" s="214">
        <v>12</v>
      </c>
      <c r="AR130" s="214"/>
      <c r="AS130" s="259"/>
    </row>
    <row r="131" spans="1:59" s="1" customFormat="1" ht="15.75" thickBot="1" x14ac:dyDescent="0.3">
      <c r="A131" s="306"/>
      <c r="B131" s="303" t="s">
        <v>70</v>
      </c>
      <c r="C131" s="145">
        <f t="shared" ref="C131:H131" si="247">SUM(C126:C130)</f>
        <v>-0.20000000000000143</v>
      </c>
      <c r="D131" s="146">
        <f t="shared" si="247"/>
        <v>12.1</v>
      </c>
      <c r="E131" s="147">
        <f t="shared" si="247"/>
        <v>5.9999999999999991</v>
      </c>
      <c r="F131" s="145">
        <f t="shared" si="247"/>
        <v>14.499999999999996</v>
      </c>
      <c r="G131" s="146">
        <f t="shared" si="247"/>
        <v>-5.0000000000000018</v>
      </c>
      <c r="H131" s="146">
        <f t="shared" si="247"/>
        <v>14.999999999999998</v>
      </c>
      <c r="I131" s="147">
        <f t="shared" ref="I131:Q131" si="248">SUM(I126:I130)</f>
        <v>13.7</v>
      </c>
      <c r="J131" s="145">
        <f t="shared" si="248"/>
        <v>5.1999999999999993</v>
      </c>
      <c r="K131" s="146">
        <f t="shared" si="248"/>
        <v>10.199999999999999</v>
      </c>
      <c r="L131" s="146">
        <f t="shared" si="248"/>
        <v>5.7999999999999972</v>
      </c>
      <c r="M131" s="146">
        <f t="shared" si="248"/>
        <v>11.600000000000001</v>
      </c>
      <c r="N131" s="145">
        <f t="shared" si="248"/>
        <v>11.5</v>
      </c>
      <c r="O131" s="146">
        <f t="shared" si="248"/>
        <v>10.199999999999998</v>
      </c>
      <c r="P131" s="146">
        <f t="shared" si="248"/>
        <v>9.3000000000000043</v>
      </c>
      <c r="Q131" s="146">
        <f t="shared" si="248"/>
        <v>11.500000000000007</v>
      </c>
      <c r="R131" s="427">
        <f t="shared" ref="R131:S131" si="249">SUM(R126:R130)</f>
        <v>65</v>
      </c>
      <c r="S131" s="428">
        <f t="shared" si="249"/>
        <v>20</v>
      </c>
      <c r="T131" s="428">
        <f t="shared" ref="T131:U131" si="250">SUM(T126:T130)</f>
        <v>41</v>
      </c>
      <c r="U131" s="428">
        <f t="shared" si="250"/>
        <v>62</v>
      </c>
      <c r="V131" s="427">
        <f t="shared" ref="V131:W131" si="251">SUM(V126:V130)</f>
        <v>116</v>
      </c>
      <c r="W131" s="428">
        <f t="shared" si="251"/>
        <v>72</v>
      </c>
      <c r="X131" s="428">
        <f t="shared" ref="X131:AA131" si="252">SUM(X126:X130)</f>
        <v>52</v>
      </c>
      <c r="Y131" s="471">
        <f t="shared" si="252"/>
        <v>114</v>
      </c>
      <c r="Z131" s="427">
        <f t="shared" si="252"/>
        <v>151</v>
      </c>
      <c r="AA131" s="428">
        <f t="shared" si="252"/>
        <v>26</v>
      </c>
      <c r="AB131" s="428">
        <f t="shared" ref="AB131:AE131" si="253">SUM(AB126:AB130)</f>
        <v>85</v>
      </c>
      <c r="AC131" s="471">
        <f t="shared" si="253"/>
        <v>57</v>
      </c>
      <c r="AD131" s="427">
        <f t="shared" si="253"/>
        <v>54</v>
      </c>
      <c r="AE131" s="428">
        <f t="shared" si="253"/>
        <v>31</v>
      </c>
      <c r="AF131" s="428">
        <f t="shared" ref="AF131:AI131" si="254">SUM(AF126:AF130)</f>
        <v>10</v>
      </c>
      <c r="AG131" s="563">
        <f t="shared" si="254"/>
        <v>-1</v>
      </c>
      <c r="AH131" s="427">
        <f t="shared" si="254"/>
        <v>34</v>
      </c>
      <c r="AI131" s="428">
        <f t="shared" si="254"/>
        <v>17</v>
      </c>
      <c r="AJ131" s="428">
        <f t="shared" ref="AJ131:AO131" si="255">SUM(AJ126:AJ130)</f>
        <v>45</v>
      </c>
      <c r="AK131" s="563">
        <f t="shared" si="255"/>
        <v>30</v>
      </c>
      <c r="AL131" s="427">
        <f t="shared" si="255"/>
        <v>7</v>
      </c>
      <c r="AM131" s="428">
        <f t="shared" si="255"/>
        <v>12</v>
      </c>
      <c r="AN131" s="428">
        <f t="shared" si="255"/>
        <v>16</v>
      </c>
      <c r="AO131" s="563">
        <f t="shared" si="255"/>
        <v>41</v>
      </c>
      <c r="AP131" s="427">
        <f t="shared" ref="AP131:AS131" si="256">SUM(AP126:AP130)</f>
        <v>41</v>
      </c>
      <c r="AQ131" s="441">
        <f t="shared" si="256"/>
        <v>-31</v>
      </c>
      <c r="AR131" s="428">
        <f t="shared" si="256"/>
        <v>0</v>
      </c>
      <c r="AS131" s="563">
        <f t="shared" si="256"/>
        <v>0</v>
      </c>
      <c r="AT131" s="347"/>
      <c r="AU131" s="347"/>
      <c r="AV131" s="347"/>
      <c r="AW131" s="347"/>
      <c r="AX131" s="347"/>
      <c r="AY131" s="347"/>
      <c r="AZ131" s="347"/>
      <c r="BA131" s="347"/>
      <c r="BB131" s="347"/>
      <c r="BC131" s="347"/>
      <c r="BD131" s="347"/>
      <c r="BE131" s="347"/>
      <c r="BF131" s="347"/>
      <c r="BG131" s="347"/>
    </row>
    <row r="132" spans="1:59" s="208" customFormat="1" ht="15.75" thickTop="1" x14ac:dyDescent="0.25">
      <c r="A132" s="225"/>
      <c r="B132" s="250"/>
      <c r="C132" s="210"/>
      <c r="E132" s="227"/>
      <c r="F132" s="225"/>
      <c r="I132" s="227"/>
      <c r="J132" s="225"/>
      <c r="N132" s="225"/>
      <c r="R132" s="225"/>
      <c r="V132" s="225"/>
      <c r="Y132" s="227"/>
      <c r="Z132" s="225"/>
      <c r="AC132" s="227"/>
      <c r="AD132" s="225"/>
      <c r="AG132" s="227"/>
      <c r="AH132" s="225"/>
      <c r="AK132" s="227"/>
      <c r="AL132" s="225"/>
      <c r="AO132" s="227"/>
      <c r="AP132" s="225"/>
      <c r="AS132" s="227"/>
    </row>
    <row r="133" spans="1:59" s="208" customFormat="1" x14ac:dyDescent="0.25">
      <c r="A133" s="225"/>
      <c r="B133" s="292" t="s">
        <v>134</v>
      </c>
      <c r="C133" s="213"/>
      <c r="E133" s="227"/>
      <c r="F133" s="225"/>
      <c r="I133" s="227"/>
      <c r="J133" s="225"/>
      <c r="N133" s="225"/>
      <c r="R133" s="225"/>
      <c r="V133" s="225"/>
      <c r="Y133" s="227"/>
      <c r="Z133" s="225"/>
      <c r="AC133" s="227"/>
      <c r="AD133" s="225"/>
      <c r="AG133" s="227"/>
      <c r="AH133" s="225"/>
      <c r="AK133" s="227"/>
      <c r="AL133" s="225"/>
      <c r="AO133" s="227"/>
      <c r="AP133" s="225"/>
      <c r="AS133" s="227"/>
    </row>
    <row r="134" spans="1:59" s="208" customFormat="1" x14ac:dyDescent="0.25">
      <c r="A134" s="225"/>
      <c r="B134" s="227" t="s">
        <v>59</v>
      </c>
      <c r="C134" s="210"/>
      <c r="E134" s="227"/>
      <c r="F134" s="225"/>
      <c r="I134" s="227"/>
      <c r="J134" s="225"/>
      <c r="N134" s="225"/>
      <c r="R134" s="225"/>
      <c r="V134" s="225"/>
      <c r="Y134" s="227"/>
      <c r="Z134" s="225"/>
      <c r="AC134" s="227"/>
      <c r="AD134" s="225"/>
      <c r="AG134" s="227"/>
      <c r="AH134" s="225"/>
      <c r="AK134" s="227"/>
      <c r="AL134" s="225"/>
      <c r="AO134" s="227"/>
      <c r="AP134" s="225"/>
      <c r="AS134" s="227"/>
    </row>
    <row r="135" spans="1:59" s="208" customFormat="1" x14ac:dyDescent="0.25">
      <c r="A135" s="225"/>
      <c r="B135" s="227" t="s">
        <v>61</v>
      </c>
      <c r="C135" s="210">
        <v>0.8</v>
      </c>
      <c r="D135" s="208">
        <v>0.3</v>
      </c>
      <c r="E135" s="227">
        <v>0.2</v>
      </c>
      <c r="F135" s="225">
        <v>1.6</v>
      </c>
      <c r="G135" s="208">
        <v>3.8</v>
      </c>
      <c r="H135" s="208">
        <v>3.8</v>
      </c>
      <c r="I135" s="227">
        <v>1.8</v>
      </c>
      <c r="J135" s="288">
        <v>10.199999999999999</v>
      </c>
      <c r="K135" s="221">
        <v>-5.4</v>
      </c>
      <c r="L135" s="243">
        <v>1.3</v>
      </c>
      <c r="M135" s="243">
        <v>3.4</v>
      </c>
      <c r="N135" s="288">
        <v>3.5</v>
      </c>
      <c r="O135" s="243">
        <f>4.4</f>
        <v>4.4000000000000004</v>
      </c>
      <c r="P135" s="277">
        <v>2.5499999999999998</v>
      </c>
      <c r="Q135" s="243">
        <v>2.9</v>
      </c>
      <c r="R135" s="360">
        <v>1</v>
      </c>
      <c r="S135" s="359">
        <v>4</v>
      </c>
      <c r="T135" s="359">
        <v>8</v>
      </c>
      <c r="U135" s="359">
        <v>10</v>
      </c>
      <c r="V135" s="360">
        <v>6</v>
      </c>
      <c r="W135" s="359">
        <v>8</v>
      </c>
      <c r="X135" s="359">
        <v>8</v>
      </c>
      <c r="Y135" s="454">
        <v>6</v>
      </c>
      <c r="Z135" s="360">
        <v>1</v>
      </c>
      <c r="AA135" s="359">
        <v>5</v>
      </c>
      <c r="AB135" s="359">
        <v>3</v>
      </c>
      <c r="AC135" s="454">
        <v>13</v>
      </c>
      <c r="AD135" s="360">
        <v>7</v>
      </c>
      <c r="AE135" s="556">
        <v>-3</v>
      </c>
      <c r="AF135" s="556">
        <v>-5</v>
      </c>
      <c r="AG135" s="454">
        <v>31</v>
      </c>
      <c r="AH135" s="360">
        <v>4</v>
      </c>
      <c r="AI135" s="556">
        <v>7</v>
      </c>
      <c r="AJ135" s="556">
        <v>5</v>
      </c>
      <c r="AK135" s="454">
        <v>26</v>
      </c>
      <c r="AL135" s="360">
        <v>5</v>
      </c>
      <c r="AM135" s="556">
        <v>5</v>
      </c>
      <c r="AN135" s="556">
        <v>11</v>
      </c>
      <c r="AO135" s="454">
        <v>14</v>
      </c>
      <c r="AP135" s="360">
        <v>1</v>
      </c>
      <c r="AQ135" s="556">
        <v>1</v>
      </c>
      <c r="AR135" s="556"/>
      <c r="AS135" s="454"/>
    </row>
    <row r="136" spans="1:59" s="208" customFormat="1" x14ac:dyDescent="0.25">
      <c r="A136" s="225"/>
      <c r="B136" s="227" t="s">
        <v>63</v>
      </c>
      <c r="C136" s="210"/>
      <c r="E136" s="227"/>
      <c r="F136" s="683"/>
      <c r="G136" s="684"/>
      <c r="H136" s="684"/>
      <c r="I136" s="685">
        <v>2.2999999999999998</v>
      </c>
      <c r="J136" s="693"/>
      <c r="K136" s="681">
        <v>33.4</v>
      </c>
      <c r="L136" s="681">
        <v>18.3</v>
      </c>
      <c r="M136" s="681">
        <v>5.4</v>
      </c>
      <c r="N136" s="693">
        <v>2.2999999999999998</v>
      </c>
      <c r="O136" s="681">
        <f>0.8</f>
        <v>0.8</v>
      </c>
      <c r="P136" s="681">
        <v>0.85</v>
      </c>
      <c r="Q136" s="681">
        <v>9.4</v>
      </c>
      <c r="R136" s="693">
        <v>12</v>
      </c>
      <c r="S136" s="681">
        <v>8</v>
      </c>
      <c r="T136" s="681">
        <v>0</v>
      </c>
      <c r="U136" s="681">
        <v>0</v>
      </c>
      <c r="V136" s="693">
        <v>0</v>
      </c>
      <c r="W136" s="681">
        <v>0</v>
      </c>
      <c r="X136" s="681">
        <v>0</v>
      </c>
      <c r="Y136" s="682">
        <v>0</v>
      </c>
      <c r="Z136" s="693">
        <v>0</v>
      </c>
      <c r="AA136" s="681">
        <v>0</v>
      </c>
      <c r="AB136" s="681">
        <v>0</v>
      </c>
      <c r="AC136" s="682">
        <v>0</v>
      </c>
      <c r="AD136" s="693">
        <v>0</v>
      </c>
      <c r="AE136" s="681">
        <v>36</v>
      </c>
      <c r="AF136" s="681">
        <v>64</v>
      </c>
      <c r="AG136" s="682">
        <v>24</v>
      </c>
      <c r="AH136" s="693">
        <v>0</v>
      </c>
      <c r="AI136" s="681">
        <v>15</v>
      </c>
      <c r="AJ136" s="681">
        <v>2</v>
      </c>
      <c r="AK136" s="682">
        <v>0</v>
      </c>
      <c r="AL136" s="693">
        <v>0</v>
      </c>
      <c r="AM136" s="681">
        <v>0</v>
      </c>
      <c r="AN136" s="681">
        <v>0</v>
      </c>
      <c r="AO136" s="682">
        <v>0</v>
      </c>
      <c r="AP136" s="693"/>
      <c r="AQ136" s="681"/>
      <c r="AR136" s="681"/>
      <c r="AS136" s="682"/>
    </row>
    <row r="137" spans="1:59" s="1" customFormat="1" x14ac:dyDescent="0.25">
      <c r="A137" s="306"/>
      <c r="B137" s="290" t="s">
        <v>64</v>
      </c>
      <c r="C137" s="152">
        <f>+C136+C135+C134</f>
        <v>0.8</v>
      </c>
      <c r="D137" s="153">
        <v>0.3</v>
      </c>
      <c r="E137" s="154">
        <f t="shared" ref="E137:M137" si="257">+E136+E135+E134</f>
        <v>0.2</v>
      </c>
      <c r="F137" s="152">
        <f t="shared" si="257"/>
        <v>1.6</v>
      </c>
      <c r="G137" s="153">
        <f t="shared" si="257"/>
        <v>3.8</v>
      </c>
      <c r="H137" s="153">
        <f t="shared" si="257"/>
        <v>3.8</v>
      </c>
      <c r="I137" s="154">
        <f t="shared" si="257"/>
        <v>4.0999999999999996</v>
      </c>
      <c r="J137" s="152">
        <f t="shared" si="257"/>
        <v>10.199999999999999</v>
      </c>
      <c r="K137" s="153">
        <f t="shared" si="257"/>
        <v>28</v>
      </c>
      <c r="L137" s="153">
        <f t="shared" si="257"/>
        <v>19.600000000000001</v>
      </c>
      <c r="M137" s="153">
        <f t="shared" si="257"/>
        <v>8.8000000000000007</v>
      </c>
      <c r="N137" s="152">
        <f t="shared" ref="N137:S137" si="258">+N136+N135+N134</f>
        <v>5.8</v>
      </c>
      <c r="O137" s="153">
        <f t="shared" si="258"/>
        <v>5.2</v>
      </c>
      <c r="P137" s="153">
        <f t="shared" si="258"/>
        <v>3.4</v>
      </c>
      <c r="Q137" s="153">
        <f t="shared" si="258"/>
        <v>12.3</v>
      </c>
      <c r="R137" s="429">
        <f t="shared" si="258"/>
        <v>13</v>
      </c>
      <c r="S137" s="430">
        <f t="shared" si="258"/>
        <v>12</v>
      </c>
      <c r="T137" s="430">
        <f t="shared" ref="T137:U137" si="259">+T136+T135+T134</f>
        <v>8</v>
      </c>
      <c r="U137" s="430">
        <f t="shared" si="259"/>
        <v>10</v>
      </c>
      <c r="V137" s="429">
        <f t="shared" ref="V137:W137" si="260">+V136+V135+V134</f>
        <v>6</v>
      </c>
      <c r="W137" s="430">
        <f t="shared" si="260"/>
        <v>8</v>
      </c>
      <c r="X137" s="430">
        <f t="shared" ref="X137:AA137" si="261">+X136+X135+X134</f>
        <v>8</v>
      </c>
      <c r="Y137" s="472">
        <f t="shared" si="261"/>
        <v>6</v>
      </c>
      <c r="Z137" s="429">
        <f t="shared" si="261"/>
        <v>1</v>
      </c>
      <c r="AA137" s="430">
        <f t="shared" si="261"/>
        <v>5</v>
      </c>
      <c r="AB137" s="430">
        <f t="shared" ref="AB137:AE137" si="262">+AB136+AB135+AB134</f>
        <v>3</v>
      </c>
      <c r="AC137" s="472">
        <f t="shared" si="262"/>
        <v>13</v>
      </c>
      <c r="AD137" s="429">
        <f t="shared" si="262"/>
        <v>7</v>
      </c>
      <c r="AE137" s="430">
        <f t="shared" si="262"/>
        <v>33</v>
      </c>
      <c r="AF137" s="430">
        <f t="shared" ref="AF137:AI137" si="263">+AF136+AF135+AF134</f>
        <v>59</v>
      </c>
      <c r="AG137" s="472">
        <f t="shared" si="263"/>
        <v>55</v>
      </c>
      <c r="AH137" s="429">
        <f t="shared" si="263"/>
        <v>4</v>
      </c>
      <c r="AI137" s="430">
        <f t="shared" si="263"/>
        <v>22</v>
      </c>
      <c r="AJ137" s="430">
        <f t="shared" ref="AJ137:AO137" si="264">+AJ136+AJ135+AJ134</f>
        <v>7</v>
      </c>
      <c r="AK137" s="472">
        <f t="shared" si="264"/>
        <v>26</v>
      </c>
      <c r="AL137" s="429">
        <f t="shared" si="264"/>
        <v>5</v>
      </c>
      <c r="AM137" s="430">
        <f t="shared" si="264"/>
        <v>5</v>
      </c>
      <c r="AN137" s="430">
        <f t="shared" si="264"/>
        <v>11</v>
      </c>
      <c r="AO137" s="472">
        <f t="shared" si="264"/>
        <v>14</v>
      </c>
      <c r="AP137" s="429">
        <f t="shared" ref="AP137:AS137" si="265">+AP136+AP135+AP134</f>
        <v>1</v>
      </c>
      <c r="AQ137" s="430">
        <f t="shared" si="265"/>
        <v>1</v>
      </c>
      <c r="AR137" s="430">
        <f t="shared" si="265"/>
        <v>0</v>
      </c>
      <c r="AS137" s="472">
        <f t="shared" si="265"/>
        <v>0</v>
      </c>
      <c r="AT137" s="347"/>
      <c r="AU137" s="347"/>
      <c r="AV137" s="347"/>
      <c r="AW137" s="347"/>
      <c r="AX137" s="347"/>
      <c r="AY137" s="347"/>
      <c r="AZ137" s="347"/>
      <c r="BA137" s="347"/>
      <c r="BB137" s="347"/>
      <c r="BC137" s="347"/>
      <c r="BD137" s="347"/>
      <c r="BE137" s="347"/>
      <c r="BF137" s="347"/>
      <c r="BG137" s="347"/>
    </row>
    <row r="138" spans="1:59" s="208" customFormat="1" x14ac:dyDescent="0.25">
      <c r="A138" s="225"/>
      <c r="B138" s="250"/>
      <c r="C138" s="210"/>
      <c r="E138" s="227"/>
      <c r="F138" s="225"/>
      <c r="I138" s="227"/>
      <c r="J138" s="225"/>
      <c r="N138" s="225"/>
      <c r="R138" s="225"/>
      <c r="V138" s="225"/>
      <c r="Y138" s="227"/>
      <c r="Z138" s="225"/>
      <c r="AC138" s="227"/>
      <c r="AD138" s="225"/>
      <c r="AG138" s="227"/>
      <c r="AH138" s="225"/>
      <c r="AK138" s="227"/>
      <c r="AL138" s="225"/>
      <c r="AO138" s="227"/>
      <c r="AP138" s="225"/>
      <c r="AS138" s="227"/>
    </row>
    <row r="139" spans="1:59" s="208" customFormat="1" ht="15.75" x14ac:dyDescent="0.25">
      <c r="A139" s="225"/>
      <c r="B139" s="328"/>
      <c r="C139" s="213"/>
      <c r="E139" s="227"/>
      <c r="F139" s="225"/>
      <c r="I139" s="227"/>
      <c r="J139" s="225"/>
      <c r="N139" s="225"/>
      <c r="R139" s="225"/>
      <c r="V139" s="225"/>
      <c r="Y139" s="227"/>
      <c r="Z139" s="225"/>
      <c r="AC139" s="227"/>
      <c r="AD139" s="225"/>
      <c r="AG139" s="227"/>
      <c r="AH139" s="225"/>
      <c r="AK139" s="227"/>
      <c r="AL139" s="225"/>
      <c r="AO139" s="227"/>
      <c r="AP139" s="225"/>
      <c r="AS139" s="227"/>
    </row>
    <row r="140" spans="1:59" s="208" customFormat="1" x14ac:dyDescent="0.25">
      <c r="A140" s="225"/>
      <c r="B140" s="292" t="s">
        <v>71</v>
      </c>
      <c r="C140" s="213"/>
      <c r="E140" s="227"/>
      <c r="F140" s="225"/>
      <c r="I140" s="227"/>
      <c r="J140" s="225"/>
      <c r="N140" s="225"/>
      <c r="R140" s="225"/>
      <c r="V140" s="225"/>
      <c r="Y140" s="227"/>
      <c r="Z140" s="225"/>
      <c r="AC140" s="227"/>
      <c r="AD140" s="225"/>
      <c r="AG140" s="227"/>
      <c r="AH140" s="225"/>
      <c r="AK140" s="227"/>
      <c r="AL140" s="225"/>
      <c r="AO140" s="227"/>
      <c r="AP140" s="225"/>
      <c r="AS140" s="227"/>
    </row>
    <row r="141" spans="1:59" s="208" customFormat="1" x14ac:dyDescent="0.25">
      <c r="A141" s="225"/>
      <c r="B141" s="227" t="s">
        <v>101</v>
      </c>
      <c r="C141" s="211">
        <v>12769</v>
      </c>
      <c r="D141" s="253">
        <v>13015</v>
      </c>
      <c r="E141" s="352">
        <v>11754</v>
      </c>
      <c r="F141" s="226">
        <v>12028</v>
      </c>
      <c r="G141" s="253">
        <v>12106</v>
      </c>
      <c r="H141" s="253">
        <v>12666</v>
      </c>
      <c r="I141" s="352">
        <v>13666</v>
      </c>
      <c r="J141" s="211">
        <v>12962</v>
      </c>
      <c r="K141" s="242">
        <v>13137</v>
      </c>
      <c r="L141" s="242">
        <v>13907</v>
      </c>
      <c r="M141" s="242">
        <v>14440</v>
      </c>
      <c r="N141" s="211">
        <v>16182</v>
      </c>
      <c r="O141" s="242">
        <v>16371</v>
      </c>
      <c r="P141" s="242">
        <v>18098</v>
      </c>
      <c r="Q141" s="242">
        <v>20379</v>
      </c>
      <c r="R141" s="211">
        <v>27901</v>
      </c>
      <c r="S141" s="242">
        <v>27798</v>
      </c>
      <c r="T141" s="242">
        <v>22541</v>
      </c>
      <c r="U141" s="242">
        <v>33000</v>
      </c>
      <c r="V141" s="211">
        <v>37944</v>
      </c>
      <c r="W141" s="242">
        <v>41697</v>
      </c>
      <c r="X141" s="242">
        <v>34642</v>
      </c>
      <c r="Y141" s="407">
        <v>31693</v>
      </c>
      <c r="Z141" s="211">
        <v>36793</v>
      </c>
      <c r="AA141" s="242">
        <v>30080</v>
      </c>
      <c r="AB141" s="242">
        <v>33714</v>
      </c>
      <c r="AC141" s="407">
        <v>33775</v>
      </c>
      <c r="AD141" s="211">
        <v>29968</v>
      </c>
      <c r="AE141" s="242">
        <v>27980</v>
      </c>
      <c r="AF141" s="242">
        <v>23044</v>
      </c>
      <c r="AG141" s="407">
        <v>22629</v>
      </c>
      <c r="AH141" s="211">
        <v>22265</v>
      </c>
      <c r="AI141" s="242">
        <v>23127</v>
      </c>
      <c r="AJ141" s="242">
        <v>22165</v>
      </c>
      <c r="AK141" s="407">
        <v>22333</v>
      </c>
      <c r="AL141" s="211">
        <v>23329</v>
      </c>
      <c r="AM141" s="242">
        <v>25253</v>
      </c>
      <c r="AN141" s="242">
        <v>29929</v>
      </c>
      <c r="AO141" s="407">
        <v>35788</v>
      </c>
      <c r="AP141" s="211">
        <v>42169</v>
      </c>
      <c r="AQ141" s="242">
        <v>38318</v>
      </c>
      <c r="AR141" s="242"/>
      <c r="AS141" s="407"/>
    </row>
    <row r="142" spans="1:59" s="208" customFormat="1" x14ac:dyDescent="0.25">
      <c r="A142" s="225"/>
      <c r="B142" s="227" t="s">
        <v>102</v>
      </c>
      <c r="C142" s="211">
        <v>846</v>
      </c>
      <c r="D142" s="253">
        <v>925</v>
      </c>
      <c r="E142" s="352">
        <v>847</v>
      </c>
      <c r="F142" s="226">
        <v>911</v>
      </c>
      <c r="G142" s="253">
        <v>917</v>
      </c>
      <c r="H142" s="253">
        <v>961</v>
      </c>
      <c r="I142" s="352">
        <v>1002</v>
      </c>
      <c r="J142" s="211">
        <v>1083</v>
      </c>
      <c r="K142" s="242">
        <v>1038</v>
      </c>
      <c r="L142" s="242">
        <v>990</v>
      </c>
      <c r="M142" s="242">
        <f t="shared" ref="M142:R142" si="266">M141/M151</f>
        <v>1009.0845562543675</v>
      </c>
      <c r="N142" s="211">
        <f t="shared" si="266"/>
        <v>1155.0321199143468</v>
      </c>
      <c r="O142" s="242">
        <f t="shared" si="266"/>
        <v>1137.6650451702571</v>
      </c>
      <c r="P142" s="242">
        <f t="shared" si="266"/>
        <v>1233.6741649625085</v>
      </c>
      <c r="Q142" s="242">
        <f t="shared" si="266"/>
        <v>1384.4429347826087</v>
      </c>
      <c r="R142" s="211">
        <f t="shared" si="266"/>
        <v>1814.1092327698309</v>
      </c>
      <c r="S142" s="242">
        <f t="shared" ref="S142:T142" si="267">S141/S151</f>
        <v>1548.6350974930363</v>
      </c>
      <c r="T142" s="242">
        <f t="shared" si="267"/>
        <v>1332.9982259018332</v>
      </c>
      <c r="U142" s="242">
        <f t="shared" ref="U142:W142" si="268">U141/U151</f>
        <v>2114.0294682895578</v>
      </c>
      <c r="V142" s="211">
        <f t="shared" si="268"/>
        <v>2536.363636363636</v>
      </c>
      <c r="W142" s="242">
        <f t="shared" si="268"/>
        <v>2950.9554140127389</v>
      </c>
      <c r="X142" s="242">
        <f t="shared" ref="X142:AA142" si="269">X141/X151</f>
        <v>2367.8742310321259</v>
      </c>
      <c r="Y142" s="407">
        <f t="shared" si="269"/>
        <v>2055.3177691309988</v>
      </c>
      <c r="Z142" s="211">
        <f t="shared" si="269"/>
        <v>2417.4113009198422</v>
      </c>
      <c r="AA142" s="242">
        <f t="shared" si="269"/>
        <v>1929.4419499679282</v>
      </c>
      <c r="AB142" s="242">
        <f t="shared" ref="AB142:AE142" si="270">AB141/AB151</f>
        <v>1977.3607038123166</v>
      </c>
      <c r="AC142" s="407">
        <f t="shared" si="270"/>
        <v>1917.9443498012492</v>
      </c>
      <c r="AD142" s="211">
        <f t="shared" si="270"/>
        <v>1687.3873873873872</v>
      </c>
      <c r="AE142" s="242">
        <f t="shared" si="270"/>
        <v>1499.4640943193997</v>
      </c>
      <c r="AF142" s="242">
        <f t="shared" ref="AF142:AI142" si="271">AF141/AF151</f>
        <v>1239.5911780527165</v>
      </c>
      <c r="AG142" s="407">
        <f t="shared" si="271"/>
        <v>1213.3512064343165</v>
      </c>
      <c r="AH142" s="211">
        <f t="shared" si="271"/>
        <v>1180.5408271474018</v>
      </c>
      <c r="AI142" s="242">
        <f t="shared" si="271"/>
        <v>1245.3957996768982</v>
      </c>
      <c r="AJ142" s="242">
        <f t="shared" ref="AJ142:AO142" si="272">AJ141/AJ151</f>
        <v>1234.13140311804</v>
      </c>
      <c r="AK142" s="407">
        <f t="shared" si="272"/>
        <v>1249.0492170022371</v>
      </c>
      <c r="AL142" s="211">
        <f t="shared" si="272"/>
        <v>1262.391774891775</v>
      </c>
      <c r="AM142" s="242">
        <f t="shared" si="272"/>
        <v>1380.6998359759432</v>
      </c>
      <c r="AN142" s="242">
        <f t="shared" si="272"/>
        <v>1696.6553287981858</v>
      </c>
      <c r="AO142" s="407">
        <f t="shared" si="272"/>
        <v>2091.6423144360024</v>
      </c>
      <c r="AP142" s="211">
        <f t="shared" ref="AP142:AS142" si="273">AP141/AP151</f>
        <v>2580.7221542227662</v>
      </c>
      <c r="AQ142" s="242">
        <f t="shared" si="273"/>
        <v>2325.1213592233007</v>
      </c>
      <c r="AR142" s="242" t="e">
        <f t="shared" si="273"/>
        <v>#DIV/0!</v>
      </c>
      <c r="AS142" s="407" t="e">
        <f t="shared" si="273"/>
        <v>#DIV/0!</v>
      </c>
    </row>
    <row r="143" spans="1:59" s="208" customFormat="1" x14ac:dyDescent="0.25">
      <c r="A143" s="225"/>
      <c r="B143" s="227" t="s">
        <v>107</v>
      </c>
      <c r="C143" s="211">
        <v>10660</v>
      </c>
      <c r="D143" s="253">
        <v>6361</v>
      </c>
      <c r="E143" s="352">
        <v>4002</v>
      </c>
      <c r="F143" s="226">
        <f t="shared" ref="F143:M143" si="274">-+F125/F116*1000000</f>
        <v>6469.5009242144179</v>
      </c>
      <c r="G143" s="253">
        <f t="shared" si="274"/>
        <v>6870.89715536105</v>
      </c>
      <c r="H143" s="253">
        <f t="shared" si="274"/>
        <v>6859.7867632267153</v>
      </c>
      <c r="I143" s="352">
        <f t="shared" si="274"/>
        <v>6512.3789020452095</v>
      </c>
      <c r="J143" s="211">
        <f t="shared" si="274"/>
        <v>8165.4579640075208</v>
      </c>
      <c r="K143" s="242">
        <f t="shared" si="274"/>
        <v>8310.3879849812274</v>
      </c>
      <c r="L143" s="242">
        <f t="shared" si="274"/>
        <v>8781.6944959802113</v>
      </c>
      <c r="M143" s="242">
        <f t="shared" si="274"/>
        <v>9263.3260131762818</v>
      </c>
      <c r="N143" s="211">
        <v>9717</v>
      </c>
      <c r="O143" s="242">
        <f>-+O125/O116*1000000</f>
        <v>8231.3519813519815</v>
      </c>
      <c r="P143" s="242">
        <f>-+P125/P116*1000000</f>
        <v>13699.951760733236</v>
      </c>
      <c r="Q143" s="242">
        <f>-+Q125/Q116*1000000</f>
        <v>11383.688401119001</v>
      </c>
      <c r="R143" s="211">
        <v>7841</v>
      </c>
      <c r="S143" s="242">
        <v>12203</v>
      </c>
      <c r="T143" s="242">
        <v>12716</v>
      </c>
      <c r="U143" s="242">
        <v>9293</v>
      </c>
      <c r="V143" s="211">
        <v>10043</v>
      </c>
      <c r="W143" s="242">
        <v>10893</v>
      </c>
      <c r="X143" s="242">
        <v>10200</v>
      </c>
      <c r="Y143" s="407">
        <v>9570</v>
      </c>
      <c r="Z143" s="211">
        <v>8716</v>
      </c>
      <c r="AA143" s="242">
        <v>14703</v>
      </c>
      <c r="AB143" s="242">
        <v>12907</v>
      </c>
      <c r="AC143" s="407">
        <v>13346</v>
      </c>
      <c r="AD143" s="211">
        <v>11525</v>
      </c>
      <c r="AE143" s="242">
        <v>12769</v>
      </c>
      <c r="AF143" s="242">
        <v>12623</v>
      </c>
      <c r="AG143" s="407">
        <v>12601</v>
      </c>
      <c r="AH143" s="211">
        <v>13227</v>
      </c>
      <c r="AI143" s="242">
        <v>14330</v>
      </c>
      <c r="AJ143" s="242">
        <v>15031</v>
      </c>
      <c r="AK143" s="407">
        <v>14678</v>
      </c>
      <c r="AL143" s="211">
        <v>18416</v>
      </c>
      <c r="AM143" s="242">
        <v>24530</v>
      </c>
      <c r="AN143" s="242">
        <v>23861</v>
      </c>
      <c r="AO143" s="407">
        <v>22407</v>
      </c>
      <c r="AP143" s="211">
        <v>23581</v>
      </c>
      <c r="AQ143" s="242">
        <v>31520</v>
      </c>
      <c r="AR143" s="242"/>
      <c r="AS143" s="407"/>
    </row>
    <row r="144" spans="1:59" s="208" customFormat="1" x14ac:dyDescent="0.25">
      <c r="A144" s="225"/>
      <c r="B144" s="227" t="s">
        <v>108</v>
      </c>
      <c r="C144" s="211">
        <v>707</v>
      </c>
      <c r="D144" s="253">
        <v>452</v>
      </c>
      <c r="E144" s="352">
        <v>288</v>
      </c>
      <c r="F144" s="226">
        <v>490</v>
      </c>
      <c r="G144" s="253">
        <v>521</v>
      </c>
      <c r="H144" s="253">
        <v>521</v>
      </c>
      <c r="I144" s="352">
        <v>478</v>
      </c>
      <c r="J144" s="211">
        <v>683</v>
      </c>
      <c r="K144" s="242">
        <v>657</v>
      </c>
      <c r="L144" s="242">
        <v>625</v>
      </c>
      <c r="M144" s="242">
        <f t="shared" ref="M144:R144" si="275">M143/M151</f>
        <v>647.33235591728032</v>
      </c>
      <c r="N144" s="211">
        <f t="shared" si="275"/>
        <v>693.57601713062104</v>
      </c>
      <c r="O144" s="242">
        <f t="shared" si="275"/>
        <v>572.01890071938715</v>
      </c>
      <c r="P144" s="242">
        <f t="shared" si="275"/>
        <v>933.87537564643742</v>
      </c>
      <c r="Q144" s="242">
        <f t="shared" si="275"/>
        <v>773.3483968151495</v>
      </c>
      <c r="R144" s="211">
        <f t="shared" si="275"/>
        <v>509.81794538361504</v>
      </c>
      <c r="S144" s="242">
        <f t="shared" ref="S144:T144" si="276">S143/S151</f>
        <v>679.83286908077991</v>
      </c>
      <c r="T144" s="242">
        <f t="shared" si="276"/>
        <v>751.9810762862212</v>
      </c>
      <c r="U144" s="242">
        <f t="shared" ref="U144:W144" si="277">U143/U151</f>
        <v>595.32351057014739</v>
      </c>
      <c r="V144" s="211">
        <f t="shared" si="277"/>
        <v>671.32352941176464</v>
      </c>
      <c r="W144" s="242">
        <f t="shared" si="277"/>
        <v>770.91295116772824</v>
      </c>
      <c r="X144" s="242">
        <f t="shared" ref="X144:AA144" si="278">X143/X151</f>
        <v>697.1975393028024</v>
      </c>
      <c r="Y144" s="407">
        <f t="shared" si="278"/>
        <v>620.62256809338521</v>
      </c>
      <c r="Z144" s="211">
        <f t="shared" si="278"/>
        <v>572.66754270696447</v>
      </c>
      <c r="AA144" s="242">
        <f t="shared" si="278"/>
        <v>943.10455420141113</v>
      </c>
      <c r="AB144" s="242">
        <f t="shared" ref="AB144:AE144" si="279">AB143/AB151</f>
        <v>757.00879765395894</v>
      </c>
      <c r="AC144" s="407">
        <f t="shared" si="279"/>
        <v>757.86484951731973</v>
      </c>
      <c r="AD144" s="211">
        <f t="shared" si="279"/>
        <v>648.93018018018017</v>
      </c>
      <c r="AE144" s="242">
        <f t="shared" si="279"/>
        <v>684.2979635584137</v>
      </c>
      <c r="AF144" s="242">
        <f t="shared" ref="AF144:AI144" si="280">AF143/AF151</f>
        <v>679.02097902097898</v>
      </c>
      <c r="AG144" s="407">
        <f t="shared" si="280"/>
        <v>675.65683646112609</v>
      </c>
      <c r="AH144" s="211">
        <f t="shared" si="280"/>
        <v>701.32555673382819</v>
      </c>
      <c r="AI144" s="242">
        <f t="shared" si="280"/>
        <v>771.67474421109318</v>
      </c>
      <c r="AJ144" s="242">
        <f t="shared" ref="AJ144:AO144" si="281">AJ143/AJ151</f>
        <v>836.91536748329622</v>
      </c>
      <c r="AK144" s="407">
        <f t="shared" si="281"/>
        <v>820.91722595078306</v>
      </c>
      <c r="AL144" s="211">
        <f t="shared" si="281"/>
        <v>996.53679653679649</v>
      </c>
      <c r="AM144" s="242">
        <f t="shared" si="281"/>
        <v>1341.17003827228</v>
      </c>
      <c r="AN144" s="242">
        <f t="shared" si="281"/>
        <v>1352.6643990929704</v>
      </c>
      <c r="AO144" s="407">
        <f t="shared" si="281"/>
        <v>1309.5850379894798</v>
      </c>
      <c r="AP144" s="211">
        <f t="shared" ref="AP144:AS144" si="282">AP143/AP151</f>
        <v>1443.1456548347614</v>
      </c>
      <c r="AQ144" s="242">
        <f t="shared" si="282"/>
        <v>1912.6213592233009</v>
      </c>
      <c r="AR144" s="242" t="e">
        <f t="shared" si="282"/>
        <v>#DIV/0!</v>
      </c>
      <c r="AS144" s="407" t="e">
        <f t="shared" si="282"/>
        <v>#DIV/0!</v>
      </c>
    </row>
    <row r="145" spans="1:59" s="208" customFormat="1" ht="15" hidden="1" customHeight="1" x14ac:dyDescent="0.25">
      <c r="A145" s="225"/>
      <c r="B145" s="227" t="s">
        <v>109</v>
      </c>
      <c r="C145" s="226"/>
      <c r="D145" s="253"/>
      <c r="E145" s="352"/>
      <c r="F145" s="226">
        <v>6470</v>
      </c>
      <c r="G145" s="253">
        <v>6871</v>
      </c>
      <c r="H145" s="253">
        <v>6860</v>
      </c>
      <c r="I145" s="218" t="s">
        <v>77</v>
      </c>
      <c r="J145" s="219" t="s">
        <v>77</v>
      </c>
      <c r="K145" s="219" t="s">
        <v>77</v>
      </c>
      <c r="L145" s="219" t="s">
        <v>77</v>
      </c>
      <c r="M145" s="219" t="s">
        <v>77</v>
      </c>
      <c r="N145" s="220" t="s">
        <v>77</v>
      </c>
      <c r="O145" s="219" t="s">
        <v>77</v>
      </c>
      <c r="P145" s="219" t="s">
        <v>77</v>
      </c>
      <c r="Q145" s="219" t="s">
        <v>77</v>
      </c>
      <c r="R145" s="220" t="s">
        <v>77</v>
      </c>
      <c r="S145" s="219" t="s">
        <v>77</v>
      </c>
      <c r="T145" s="219" t="s">
        <v>77</v>
      </c>
      <c r="U145" s="219" t="s">
        <v>77</v>
      </c>
      <c r="V145" s="220" t="s">
        <v>77</v>
      </c>
      <c r="W145" s="219" t="s">
        <v>77</v>
      </c>
      <c r="X145" s="219" t="s">
        <v>77</v>
      </c>
      <c r="Y145" s="218" t="s">
        <v>77</v>
      </c>
      <c r="Z145" s="220" t="s">
        <v>77</v>
      </c>
      <c r="AA145" s="219" t="s">
        <v>77</v>
      </c>
      <c r="AB145" s="219" t="s">
        <v>77</v>
      </c>
      <c r="AC145" s="218" t="s">
        <v>77</v>
      </c>
      <c r="AD145" s="220" t="s">
        <v>77</v>
      </c>
      <c r="AE145" s="219" t="s">
        <v>77</v>
      </c>
      <c r="AF145" s="219" t="s">
        <v>77</v>
      </c>
      <c r="AG145" s="218" t="s">
        <v>77</v>
      </c>
      <c r="AH145" s="220" t="s">
        <v>77</v>
      </c>
      <c r="AI145" s="219" t="s">
        <v>77</v>
      </c>
      <c r="AJ145" s="219" t="s">
        <v>77</v>
      </c>
      <c r="AK145" s="218" t="s">
        <v>77</v>
      </c>
      <c r="AL145" s="220" t="s">
        <v>77</v>
      </c>
      <c r="AM145" s="219"/>
      <c r="AN145" s="219"/>
      <c r="AO145" s="218"/>
      <c r="AP145" s="220" t="s">
        <v>77</v>
      </c>
      <c r="AQ145" s="219"/>
      <c r="AR145" s="219"/>
      <c r="AS145" s="218"/>
    </row>
    <row r="146" spans="1:59" s="208" customFormat="1" ht="15" hidden="1" customHeight="1" x14ac:dyDescent="0.25">
      <c r="A146" s="225"/>
      <c r="B146" s="227" t="s">
        <v>110</v>
      </c>
      <c r="C146" s="226"/>
      <c r="D146" s="253"/>
      <c r="E146" s="352"/>
      <c r="F146" s="226">
        <v>490</v>
      </c>
      <c r="G146" s="253">
        <v>521</v>
      </c>
      <c r="H146" s="253">
        <v>521</v>
      </c>
      <c r="I146" s="218" t="s">
        <v>77</v>
      </c>
      <c r="J146" s="219" t="s">
        <v>77</v>
      </c>
      <c r="K146" s="219" t="s">
        <v>77</v>
      </c>
      <c r="L146" s="219" t="s">
        <v>77</v>
      </c>
      <c r="M146" s="219" t="s">
        <v>77</v>
      </c>
      <c r="N146" s="220" t="s">
        <v>77</v>
      </c>
      <c r="O146" s="219" t="s">
        <v>77</v>
      </c>
      <c r="P146" s="219" t="s">
        <v>77</v>
      </c>
      <c r="Q146" s="219" t="s">
        <v>77</v>
      </c>
      <c r="R146" s="220" t="s">
        <v>77</v>
      </c>
      <c r="S146" s="219" t="s">
        <v>77</v>
      </c>
      <c r="T146" s="219" t="s">
        <v>77</v>
      </c>
      <c r="U146" s="219" t="s">
        <v>77</v>
      </c>
      <c r="V146" s="220" t="s">
        <v>77</v>
      </c>
      <c r="W146" s="219" t="s">
        <v>77</v>
      </c>
      <c r="X146" s="219" t="s">
        <v>77</v>
      </c>
      <c r="Y146" s="218" t="s">
        <v>77</v>
      </c>
      <c r="Z146" s="220" t="s">
        <v>77</v>
      </c>
      <c r="AA146" s="219" t="s">
        <v>77</v>
      </c>
      <c r="AB146" s="219" t="s">
        <v>77</v>
      </c>
      <c r="AC146" s="218" t="s">
        <v>77</v>
      </c>
      <c r="AD146" s="220" t="s">
        <v>77</v>
      </c>
      <c r="AE146" s="219" t="s">
        <v>77</v>
      </c>
      <c r="AF146" s="219" t="s">
        <v>77</v>
      </c>
      <c r="AG146" s="218" t="s">
        <v>77</v>
      </c>
      <c r="AH146" s="220" t="s">
        <v>77</v>
      </c>
      <c r="AI146" s="219" t="s">
        <v>77</v>
      </c>
      <c r="AJ146" s="219" t="s">
        <v>77</v>
      </c>
      <c r="AK146" s="218" t="s">
        <v>77</v>
      </c>
      <c r="AL146" s="220" t="s">
        <v>77</v>
      </c>
      <c r="AM146" s="219"/>
      <c r="AN146" s="219"/>
      <c r="AO146" s="218"/>
      <c r="AP146" s="220" t="s">
        <v>77</v>
      </c>
      <c r="AQ146" s="219"/>
      <c r="AR146" s="219"/>
      <c r="AS146" s="218"/>
    </row>
    <row r="147" spans="1:59" s="208" customFormat="1" x14ac:dyDescent="0.25">
      <c r="A147" s="225"/>
      <c r="B147" s="227" t="s">
        <v>128</v>
      </c>
      <c r="C147" s="226"/>
      <c r="D147" s="253"/>
      <c r="E147" s="352"/>
      <c r="F147" s="226">
        <v>6839</v>
      </c>
      <c r="G147" s="253">
        <v>6740</v>
      </c>
      <c r="H147" s="253">
        <v>7081</v>
      </c>
      <c r="I147" s="352">
        <v>6206</v>
      </c>
      <c r="J147" s="211">
        <v>10341</v>
      </c>
      <c r="K147" s="242">
        <v>6383</v>
      </c>
      <c r="L147" s="242">
        <v>8472</v>
      </c>
      <c r="M147" s="242">
        <v>9423</v>
      </c>
      <c r="N147" s="211">
        <v>9779</v>
      </c>
      <c r="O147" s="242">
        <v>8275</v>
      </c>
      <c r="P147" s="242">
        <v>15195</v>
      </c>
      <c r="Q147" s="242">
        <v>12610</v>
      </c>
      <c r="R147" s="211">
        <v>8251</v>
      </c>
      <c r="S147" s="242">
        <v>13081</v>
      </c>
      <c r="T147" s="242">
        <v>13880</v>
      </c>
      <c r="U147" s="242">
        <v>10027</v>
      </c>
      <c r="V147" s="211">
        <v>10369</v>
      </c>
      <c r="W147" s="242">
        <v>11343</v>
      </c>
      <c r="X147" s="242">
        <v>10345</v>
      </c>
      <c r="Y147" s="407">
        <v>6971</v>
      </c>
      <c r="Z147" s="211">
        <v>7462</v>
      </c>
      <c r="AA147" s="242">
        <v>13667</v>
      </c>
      <c r="AB147" s="242">
        <v>11283</v>
      </c>
      <c r="AC147" s="407">
        <v>12457</v>
      </c>
      <c r="AD147" s="211">
        <v>10456</v>
      </c>
      <c r="AE147" s="242">
        <v>10886</v>
      </c>
      <c r="AF147" s="242">
        <v>10747</v>
      </c>
      <c r="AG147" s="407">
        <v>13869</v>
      </c>
      <c r="AH147" s="211">
        <v>9412</v>
      </c>
      <c r="AI147" s="242">
        <v>12659</v>
      </c>
      <c r="AJ147" s="242">
        <v>5546</v>
      </c>
      <c r="AK147" s="407">
        <v>11247</v>
      </c>
      <c r="AL147" s="211">
        <v>15641</v>
      </c>
      <c r="AM147" s="242">
        <v>15980</v>
      </c>
      <c r="AN147" s="242">
        <v>19961</v>
      </c>
      <c r="AO147" s="407">
        <v>18184</v>
      </c>
      <c r="AP147" s="211">
        <v>16844</v>
      </c>
      <c r="AQ147" s="242">
        <v>25562</v>
      </c>
      <c r="AR147" s="242"/>
      <c r="AS147" s="407"/>
    </row>
    <row r="148" spans="1:59" s="208" customFormat="1" x14ac:dyDescent="0.25">
      <c r="A148" s="225"/>
      <c r="B148" s="227" t="s">
        <v>129</v>
      </c>
      <c r="C148" s="226"/>
      <c r="D148" s="253"/>
      <c r="E148" s="352"/>
      <c r="F148" s="226">
        <v>518</v>
      </c>
      <c r="G148" s="253">
        <v>511</v>
      </c>
      <c r="H148" s="253">
        <v>537</v>
      </c>
      <c r="I148" s="352">
        <v>455</v>
      </c>
      <c r="J148" s="211">
        <v>864</v>
      </c>
      <c r="K148" s="242">
        <v>504</v>
      </c>
      <c r="L148" s="242">
        <v>603</v>
      </c>
      <c r="M148" s="242">
        <f>M147/M151+1</f>
        <v>659.49056603773579</v>
      </c>
      <c r="N148" s="211">
        <f t="shared" ref="N148:S148" si="283">N147/N151</f>
        <v>698.00142755174875</v>
      </c>
      <c r="O148" s="242">
        <f t="shared" si="283"/>
        <v>575.05211952744958</v>
      </c>
      <c r="P148" s="242">
        <f t="shared" si="283"/>
        <v>1035.7873210633948</v>
      </c>
      <c r="Q148" s="242">
        <f t="shared" si="283"/>
        <v>856.65760869565213</v>
      </c>
      <c r="R148" s="211">
        <f t="shared" si="283"/>
        <v>536.47594278283486</v>
      </c>
      <c r="S148" s="242">
        <f t="shared" si="283"/>
        <v>728.74651810584965</v>
      </c>
      <c r="T148" s="242">
        <f t="shared" ref="T148:U148" si="284">T147/T151</f>
        <v>820.81608515671201</v>
      </c>
      <c r="U148" s="242">
        <f t="shared" si="284"/>
        <v>642.34465086483021</v>
      </c>
      <c r="V148" s="211">
        <f t="shared" ref="V148:W148" si="285">V147/V151</f>
        <v>693.11497326203209</v>
      </c>
      <c r="W148" s="242">
        <f t="shared" si="285"/>
        <v>802.76008492568997</v>
      </c>
      <c r="X148" s="242">
        <f t="shared" ref="X148:AA148" si="286">X147/X151</f>
        <v>707.10868079289128</v>
      </c>
      <c r="Y148" s="407">
        <f t="shared" si="286"/>
        <v>452.07522697795071</v>
      </c>
      <c r="Z148" s="211">
        <f t="shared" si="286"/>
        <v>490.27595269382391</v>
      </c>
      <c r="AA148" s="242">
        <f t="shared" si="286"/>
        <v>876.651699807569</v>
      </c>
      <c r="AB148" s="242">
        <f t="shared" ref="AB148:AE148" si="287">AB147/AB151</f>
        <v>661.75953079178885</v>
      </c>
      <c r="AC148" s="407">
        <f t="shared" si="287"/>
        <v>707.38216922203299</v>
      </c>
      <c r="AD148" s="211">
        <f t="shared" si="287"/>
        <v>588.73873873873868</v>
      </c>
      <c r="AE148" s="242">
        <f t="shared" si="287"/>
        <v>583.3869239013934</v>
      </c>
      <c r="AF148" s="242">
        <f t="shared" ref="AF148:AI148" si="288">AF147/AF151</f>
        <v>578.10650887573968</v>
      </c>
      <c r="AG148" s="407">
        <f t="shared" si="288"/>
        <v>743.6461126005363</v>
      </c>
      <c r="AH148" s="211">
        <f t="shared" si="288"/>
        <v>499.04559915164373</v>
      </c>
      <c r="AI148" s="242">
        <f t="shared" si="288"/>
        <v>681.69089929994618</v>
      </c>
      <c r="AJ148" s="242">
        <f t="shared" ref="AJ148:AO148" si="289">AJ147/AJ151</f>
        <v>308.79732739420933</v>
      </c>
      <c r="AK148" s="407">
        <f t="shared" si="289"/>
        <v>629.02684563758396</v>
      </c>
      <c r="AL148" s="211">
        <f t="shared" si="289"/>
        <v>846.37445887445881</v>
      </c>
      <c r="AM148" s="242">
        <f t="shared" si="289"/>
        <v>873.70147621651176</v>
      </c>
      <c r="AN148" s="242">
        <f t="shared" si="289"/>
        <v>1131.5759637188207</v>
      </c>
      <c r="AO148" s="407">
        <f t="shared" si="289"/>
        <v>1062.7703097603742</v>
      </c>
      <c r="AP148" s="211">
        <f t="shared" ref="AP148:AS148" si="290">AP147/AP151</f>
        <v>1030.844553243574</v>
      </c>
      <c r="AQ148" s="242">
        <f t="shared" si="290"/>
        <v>1551.0922330097087</v>
      </c>
      <c r="AR148" s="242" t="e">
        <f t="shared" si="290"/>
        <v>#DIV/0!</v>
      </c>
      <c r="AS148" s="407" t="e">
        <f t="shared" si="290"/>
        <v>#DIV/0!</v>
      </c>
    </row>
    <row r="149" spans="1:59" s="208" customFormat="1" x14ac:dyDescent="0.25">
      <c r="A149" s="225"/>
      <c r="B149" s="227" t="s">
        <v>136</v>
      </c>
      <c r="C149" s="226"/>
      <c r="D149" s="253"/>
      <c r="E149" s="352"/>
      <c r="F149" s="226"/>
      <c r="G149" s="253"/>
      <c r="H149" s="253"/>
      <c r="I149" s="352"/>
      <c r="J149" s="211">
        <v>10341</v>
      </c>
      <c r="K149" s="242">
        <v>14743</v>
      </c>
      <c r="L149" s="242">
        <v>12245</v>
      </c>
      <c r="M149" s="242">
        <v>10501</v>
      </c>
      <c r="N149" s="211">
        <v>10250</v>
      </c>
      <c r="O149" s="242">
        <v>8392</v>
      </c>
      <c r="P149" s="242">
        <v>15412</v>
      </c>
      <c r="Q149" s="242">
        <v>14633</v>
      </c>
      <c r="R149" s="211">
        <v>9566</v>
      </c>
      <c r="S149" s="242">
        <v>14160</v>
      </c>
      <c r="T149" s="242">
        <v>13880</v>
      </c>
      <c r="U149" s="242">
        <v>10027</v>
      </c>
      <c r="V149" s="211">
        <v>10369</v>
      </c>
      <c r="W149" s="242">
        <v>11343</v>
      </c>
      <c r="X149" s="242">
        <v>10345</v>
      </c>
      <c r="Y149" s="407">
        <v>6971</v>
      </c>
      <c r="Z149" s="211">
        <v>7462</v>
      </c>
      <c r="AA149" s="242">
        <v>13667</v>
      </c>
      <c r="AB149" s="242">
        <v>11283</v>
      </c>
      <c r="AC149" s="407">
        <v>12457</v>
      </c>
      <c r="AD149" s="211">
        <v>10456</v>
      </c>
      <c r="AE149" s="242">
        <v>13833</v>
      </c>
      <c r="AF149" s="242">
        <v>15364</v>
      </c>
      <c r="AG149" s="407">
        <v>15771</v>
      </c>
      <c r="AH149" s="211">
        <v>9412</v>
      </c>
      <c r="AI149" s="242">
        <v>13978</v>
      </c>
      <c r="AJ149" s="242">
        <v>5707</v>
      </c>
      <c r="AK149" s="407">
        <v>11247</v>
      </c>
      <c r="AL149" s="211">
        <v>15641</v>
      </c>
      <c r="AM149" s="242">
        <v>15980</v>
      </c>
      <c r="AN149" s="242">
        <v>19961</v>
      </c>
      <c r="AO149" s="407">
        <v>18184</v>
      </c>
      <c r="AP149" s="211">
        <v>16844</v>
      </c>
      <c r="AQ149" s="242">
        <v>25562</v>
      </c>
      <c r="AR149" s="242"/>
      <c r="AS149" s="407"/>
    </row>
    <row r="150" spans="1:59" s="208" customFormat="1" x14ac:dyDescent="0.25">
      <c r="A150" s="225"/>
      <c r="B150" s="227" t="s">
        <v>137</v>
      </c>
      <c r="C150" s="226"/>
      <c r="D150" s="253"/>
      <c r="E150" s="352"/>
      <c r="F150" s="226"/>
      <c r="G150" s="253"/>
      <c r="H150" s="253"/>
      <c r="I150" s="352"/>
      <c r="J150" s="211">
        <f>+J149/(J151)-1</f>
        <v>863.63210702341132</v>
      </c>
      <c r="K150" s="242">
        <f>+K149/(K151)</f>
        <v>1165.4545454545455</v>
      </c>
      <c r="L150" s="242">
        <v>871</v>
      </c>
      <c r="M150" s="242">
        <f t="shared" ref="M150:R150" si="291">M149/M151</f>
        <v>733.82250174703006</v>
      </c>
      <c r="N150" s="211">
        <f t="shared" si="291"/>
        <v>731.62027123483233</v>
      </c>
      <c r="O150" s="242">
        <f t="shared" si="291"/>
        <v>583.18276580959002</v>
      </c>
      <c r="P150" s="242">
        <f t="shared" si="291"/>
        <v>1050.5794137695977</v>
      </c>
      <c r="Q150" s="242">
        <f t="shared" si="291"/>
        <v>994.08967391304338</v>
      </c>
      <c r="R150" s="211">
        <f t="shared" si="291"/>
        <v>621.97659297789335</v>
      </c>
      <c r="S150" s="242">
        <f t="shared" ref="S150:T150" si="292">S149/S151</f>
        <v>788.85793871866304</v>
      </c>
      <c r="T150" s="242">
        <f t="shared" si="292"/>
        <v>820.81608515671201</v>
      </c>
      <c r="U150" s="242">
        <f t="shared" ref="U150:W150" si="293">U149/U151</f>
        <v>642.34465086483021</v>
      </c>
      <c r="V150" s="211">
        <f t="shared" si="293"/>
        <v>693.11497326203209</v>
      </c>
      <c r="W150" s="242">
        <f t="shared" si="293"/>
        <v>802.76008492568997</v>
      </c>
      <c r="X150" s="242">
        <f t="shared" ref="X150:AA150" si="294">X149/X151</f>
        <v>707.10868079289128</v>
      </c>
      <c r="Y150" s="407">
        <f t="shared" si="294"/>
        <v>452.07522697795071</v>
      </c>
      <c r="Z150" s="211">
        <f t="shared" si="294"/>
        <v>490.27595269382391</v>
      </c>
      <c r="AA150" s="242">
        <f t="shared" si="294"/>
        <v>876.651699807569</v>
      </c>
      <c r="AB150" s="242">
        <f t="shared" ref="AB150:AE150" si="295">AB149/AB151</f>
        <v>661.75953079178885</v>
      </c>
      <c r="AC150" s="407">
        <f t="shared" si="295"/>
        <v>707.38216922203299</v>
      </c>
      <c r="AD150" s="211">
        <f t="shared" si="295"/>
        <v>588.73873873873868</v>
      </c>
      <c r="AE150" s="242">
        <f t="shared" si="295"/>
        <v>741.31832797427649</v>
      </c>
      <c r="AF150" s="242">
        <f t="shared" ref="AF150:AI150" si="296">AF149/AF151</f>
        <v>826.4658418504572</v>
      </c>
      <c r="AG150" s="407">
        <f t="shared" si="296"/>
        <v>845.63002680965155</v>
      </c>
      <c r="AH150" s="211">
        <f t="shared" si="296"/>
        <v>499.04559915164373</v>
      </c>
      <c r="AI150" s="242">
        <f t="shared" si="296"/>
        <v>752.7194399569197</v>
      </c>
      <c r="AJ150" s="242">
        <f t="shared" ref="AJ150:AO150" si="297">AJ149/AJ151</f>
        <v>317.76169265033406</v>
      </c>
      <c r="AK150" s="407">
        <f t="shared" si="297"/>
        <v>629.02684563758396</v>
      </c>
      <c r="AL150" s="211">
        <f t="shared" si="297"/>
        <v>846.37445887445881</v>
      </c>
      <c r="AM150" s="242">
        <f t="shared" si="297"/>
        <v>873.70147621651176</v>
      </c>
      <c r="AN150" s="242">
        <f t="shared" si="297"/>
        <v>1131.5759637188207</v>
      </c>
      <c r="AO150" s="407">
        <f t="shared" si="297"/>
        <v>1062.7703097603742</v>
      </c>
      <c r="AP150" s="211">
        <f t="shared" ref="AP150:AS150" si="298">AP149/AP151</f>
        <v>1030.844553243574</v>
      </c>
      <c r="AQ150" s="242">
        <f t="shared" si="298"/>
        <v>1551.0922330097087</v>
      </c>
      <c r="AR150" s="242" t="e">
        <f t="shared" si="298"/>
        <v>#DIV/0!</v>
      </c>
      <c r="AS150" s="407" t="e">
        <f t="shared" si="298"/>
        <v>#DIV/0!</v>
      </c>
    </row>
    <row r="151" spans="1:59" s="208" customFormat="1" x14ac:dyDescent="0.25">
      <c r="A151" s="225"/>
      <c r="B151" s="227" t="s">
        <v>83</v>
      </c>
      <c r="C151" s="226"/>
      <c r="D151" s="253"/>
      <c r="E151" s="352"/>
      <c r="F151" s="226"/>
      <c r="G151" s="253"/>
      <c r="H151" s="253"/>
      <c r="I151" s="352"/>
      <c r="J151" s="288">
        <v>11.96</v>
      </c>
      <c r="K151" s="243">
        <v>12.65</v>
      </c>
      <c r="L151" s="243">
        <v>14.05</v>
      </c>
      <c r="M151" s="364">
        <v>14.31</v>
      </c>
      <c r="N151" s="365">
        <v>14.01</v>
      </c>
      <c r="O151" s="364">
        <v>14.39</v>
      </c>
      <c r="P151" s="364">
        <v>14.67</v>
      </c>
      <c r="Q151" s="364">
        <v>14.72</v>
      </c>
      <c r="R151" s="365">
        <v>15.38</v>
      </c>
      <c r="S151" s="364">
        <v>17.95</v>
      </c>
      <c r="T151" s="364">
        <v>16.91</v>
      </c>
      <c r="U151" s="364">
        <v>15.61</v>
      </c>
      <c r="V151" s="365">
        <v>14.96</v>
      </c>
      <c r="W151" s="243">
        <v>14.13</v>
      </c>
      <c r="X151" s="243">
        <v>14.63</v>
      </c>
      <c r="Y151" s="326">
        <v>15.42</v>
      </c>
      <c r="Z151" s="365">
        <v>15.22</v>
      </c>
      <c r="AA151" s="243">
        <v>15.59</v>
      </c>
      <c r="AB151" s="243">
        <v>17.05</v>
      </c>
      <c r="AC151" s="326">
        <v>17.61</v>
      </c>
      <c r="AD151" s="365">
        <v>17.760000000000002</v>
      </c>
      <c r="AE151" s="243">
        <v>18.66</v>
      </c>
      <c r="AF151" s="297">
        <v>18.59</v>
      </c>
      <c r="AG151" s="326">
        <v>18.649999999999999</v>
      </c>
      <c r="AH151" s="365">
        <v>18.86</v>
      </c>
      <c r="AI151" s="297">
        <v>18.57</v>
      </c>
      <c r="AJ151" s="297">
        <v>17.96</v>
      </c>
      <c r="AK151" s="326">
        <v>17.88</v>
      </c>
      <c r="AL151" s="301">
        <v>18.48</v>
      </c>
      <c r="AM151" s="297">
        <v>18.29</v>
      </c>
      <c r="AN151" s="297">
        <v>17.64</v>
      </c>
      <c r="AO151" s="326">
        <v>17.11</v>
      </c>
      <c r="AP151" s="301">
        <v>16.34</v>
      </c>
      <c r="AQ151" s="297">
        <v>16.48</v>
      </c>
      <c r="AR151" s="297"/>
      <c r="AS151" s="326"/>
    </row>
    <row r="152" spans="1:59" s="208" customFormat="1" x14ac:dyDescent="0.25">
      <c r="A152" s="307"/>
      <c r="B152" s="305"/>
      <c r="C152" s="307"/>
      <c r="D152" s="313"/>
      <c r="E152" s="305"/>
      <c r="F152" s="307"/>
      <c r="G152" s="313"/>
      <c r="H152" s="313"/>
      <c r="I152" s="305"/>
      <c r="J152" s="307"/>
      <c r="K152" s="313"/>
      <c r="L152" s="313"/>
      <c r="M152" s="313"/>
      <c r="N152" s="307"/>
      <c r="O152" s="313"/>
      <c r="P152" s="313"/>
      <c r="Q152" s="313"/>
      <c r="R152" s="307"/>
      <c r="S152" s="313"/>
      <c r="T152" s="313"/>
      <c r="U152" s="313"/>
      <c r="V152" s="307"/>
      <c r="W152" s="313"/>
      <c r="X152" s="313"/>
      <c r="Y152" s="305"/>
      <c r="Z152" s="307"/>
      <c r="AA152" s="313"/>
      <c r="AB152" s="313"/>
      <c r="AC152" s="305"/>
      <c r="AD152" s="307"/>
      <c r="AE152" s="313"/>
      <c r="AF152" s="313"/>
      <c r="AG152" s="305"/>
      <c r="AH152" s="307"/>
      <c r="AI152" s="313"/>
      <c r="AJ152" s="313"/>
      <c r="AK152" s="305"/>
      <c r="AL152" s="307"/>
      <c r="AM152" s="313"/>
      <c r="AN152" s="313"/>
      <c r="AO152" s="305"/>
      <c r="AP152" s="307"/>
      <c r="AQ152" s="313"/>
      <c r="AR152" s="313"/>
      <c r="AS152" s="305"/>
    </row>
    <row r="153" spans="1:59" ht="21" x14ac:dyDescent="0.35">
      <c r="A153" s="160"/>
      <c r="B153" s="184" t="s">
        <v>162</v>
      </c>
      <c r="C153" s="135"/>
      <c r="D153" s="136"/>
      <c r="E153" s="137"/>
      <c r="F153" s="138"/>
      <c r="G153" s="136"/>
      <c r="H153" s="13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8"/>
      <c r="S153" s="136"/>
      <c r="T153" s="136"/>
      <c r="U153" s="136"/>
      <c r="V153" s="138"/>
      <c r="W153" s="136"/>
      <c r="X153" s="136"/>
      <c r="Y153" s="137"/>
      <c r="Z153" s="138"/>
      <c r="AA153" s="136"/>
      <c r="AB153" s="136"/>
      <c r="AC153" s="137"/>
      <c r="AD153" s="138"/>
      <c r="AE153" s="136"/>
      <c r="AF153" s="136"/>
      <c r="AG153" s="137"/>
      <c r="AH153" s="138"/>
      <c r="AI153" s="136"/>
      <c r="AJ153" s="136"/>
      <c r="AK153" s="137"/>
      <c r="AL153" s="974" t="s">
        <v>255</v>
      </c>
      <c r="AM153" s="973"/>
      <c r="AN153" s="973"/>
      <c r="AO153" s="975"/>
      <c r="AP153" s="974"/>
      <c r="AQ153" s="973"/>
      <c r="AR153" s="973"/>
      <c r="AS153" s="975"/>
    </row>
    <row r="154" spans="1:59" s="208" customFormat="1" ht="18.75" x14ac:dyDescent="0.3">
      <c r="A154" s="225"/>
      <c r="B154" s="327"/>
      <c r="C154" s="213"/>
      <c r="E154" s="227"/>
      <c r="F154" s="225"/>
      <c r="I154" s="227"/>
      <c r="J154" s="225"/>
      <c r="N154" s="225"/>
      <c r="R154" s="225"/>
      <c r="V154" s="225"/>
      <c r="Y154" s="227"/>
      <c r="Z154" s="225"/>
      <c r="AC154" s="227"/>
      <c r="AD154" s="225"/>
      <c r="AG154" s="227"/>
      <c r="AH154" s="225"/>
      <c r="AK154" s="227"/>
      <c r="AL154" s="225"/>
      <c r="AO154" s="227"/>
      <c r="AP154" s="225"/>
      <c r="AS154" s="227"/>
    </row>
    <row r="155" spans="1:59" s="208" customFormat="1" x14ac:dyDescent="0.25">
      <c r="A155" s="225"/>
      <c r="B155" s="290" t="s">
        <v>51</v>
      </c>
      <c r="C155" s="213"/>
      <c r="E155" s="352">
        <v>4122</v>
      </c>
      <c r="F155" s="226">
        <f>(334+1369+1178+1113)</f>
        <v>3994</v>
      </c>
      <c r="G155" s="253">
        <f>(464+1628+1785+1045)</f>
        <v>4922</v>
      </c>
      <c r="H155" s="253">
        <f>(436+1614+2524+1087)</f>
        <v>5661</v>
      </c>
      <c r="I155" s="352">
        <f>(332+1803+2575+990)</f>
        <v>5700</v>
      </c>
      <c r="J155" s="211">
        <f>(302+1466+2190+1057)</f>
        <v>5015</v>
      </c>
      <c r="K155" s="242">
        <f>(316+1780+2418+1116)</f>
        <v>5630</v>
      </c>
      <c r="L155" s="242">
        <f>(552+2103+2797+1148)</f>
        <v>6600</v>
      </c>
      <c r="M155" s="242">
        <f>(943+2017+2617+1177)-1</f>
        <v>6753</v>
      </c>
      <c r="N155" s="211">
        <f>+(245+1401+2355+849)</f>
        <v>4850</v>
      </c>
      <c r="O155" s="242">
        <f>+(1525+1156+2840+455)</f>
        <v>5976</v>
      </c>
      <c r="P155" s="242">
        <f>444+2160+3148+1218</f>
        <v>6970</v>
      </c>
      <c r="Q155" s="242">
        <f>1150+946+3189+347</f>
        <v>5632</v>
      </c>
      <c r="R155" s="211">
        <f>+(291+1137+2487+838)</f>
        <v>4753</v>
      </c>
      <c r="S155" s="242">
        <v>1048</v>
      </c>
      <c r="T155" s="242">
        <f>491+840+2449+673</f>
        <v>4453</v>
      </c>
      <c r="U155" s="242">
        <f>434+1655+3169+893</f>
        <v>6151</v>
      </c>
      <c r="V155" s="211">
        <f>306+1500+2465+698</f>
        <v>4969</v>
      </c>
      <c r="W155" s="242">
        <v>5820</v>
      </c>
      <c r="X155" s="242">
        <v>6780</v>
      </c>
      <c r="Y155" s="407">
        <f>426+1817+2417+699</f>
        <v>5359</v>
      </c>
      <c r="Z155" s="211">
        <v>4515</v>
      </c>
      <c r="AA155" s="242">
        <f>404+1695+3015+712</f>
        <v>5826</v>
      </c>
      <c r="AB155" s="242">
        <v>6331</v>
      </c>
      <c r="AC155" s="407">
        <v>5496</v>
      </c>
      <c r="AD155" s="211">
        <v>4742</v>
      </c>
      <c r="AE155" s="242">
        <v>5983</v>
      </c>
      <c r="AF155" s="242">
        <v>6504</v>
      </c>
      <c r="AG155" s="407">
        <v>5868</v>
      </c>
      <c r="AH155" s="211">
        <f>437+1214+2227+351</f>
        <v>4229</v>
      </c>
      <c r="AI155" s="242">
        <v>5009</v>
      </c>
      <c r="AJ155" s="242">
        <v>6269</v>
      </c>
      <c r="AK155" s="407">
        <v>4714</v>
      </c>
      <c r="AL155" s="211">
        <v>6965</v>
      </c>
      <c r="AM155" s="242">
        <v>8675</v>
      </c>
      <c r="AN155" s="242">
        <v>9718</v>
      </c>
      <c r="AO155" s="407">
        <v>9371</v>
      </c>
      <c r="AP155" s="211">
        <v>7595</v>
      </c>
      <c r="AQ155" s="242">
        <v>8860</v>
      </c>
      <c r="AR155" s="242"/>
      <c r="AS155" s="407"/>
    </row>
    <row r="156" spans="1:59" s="208" customFormat="1" x14ac:dyDescent="0.25">
      <c r="A156" s="225"/>
      <c r="B156" s="292" t="s">
        <v>123</v>
      </c>
      <c r="C156" s="213"/>
      <c r="E156" s="352"/>
      <c r="F156" s="226"/>
      <c r="G156" s="253"/>
      <c r="H156" s="253"/>
      <c r="I156" s="352"/>
      <c r="J156" s="367"/>
      <c r="K156" s="242"/>
      <c r="L156" s="368"/>
      <c r="M156" s="368"/>
      <c r="N156" s="367"/>
      <c r="O156" s="368"/>
      <c r="P156" s="368"/>
      <c r="Q156" s="368"/>
      <c r="R156" s="367"/>
      <c r="S156" s="368"/>
      <c r="T156" s="368"/>
      <c r="U156" s="368"/>
      <c r="V156" s="367"/>
      <c r="W156" s="368"/>
      <c r="X156" s="368"/>
      <c r="Y156" s="475"/>
      <c r="Z156" s="367"/>
      <c r="AA156" s="368"/>
      <c r="AB156" s="368"/>
      <c r="AC156" s="475"/>
      <c r="AD156" s="367"/>
      <c r="AE156" s="368"/>
      <c r="AF156" s="368"/>
      <c r="AG156" s="475"/>
      <c r="AH156" s="367"/>
      <c r="AI156" s="368"/>
      <c r="AJ156" s="368"/>
      <c r="AK156" s="475"/>
      <c r="AL156" s="367"/>
      <c r="AM156" s="368"/>
      <c r="AN156" s="368"/>
      <c r="AO156" s="475"/>
      <c r="AP156" s="367"/>
      <c r="AQ156" s="368"/>
      <c r="AR156" s="368"/>
      <c r="AS156" s="475"/>
    </row>
    <row r="157" spans="1:59" s="208" customFormat="1" x14ac:dyDescent="0.25">
      <c r="A157" s="225"/>
      <c r="B157" s="227" t="s">
        <v>52</v>
      </c>
      <c r="C157" s="213"/>
      <c r="E157" s="352">
        <f>1204</f>
        <v>1204</v>
      </c>
      <c r="F157" s="226">
        <v>1681</v>
      </c>
      <c r="G157" s="253">
        <v>1831</v>
      </c>
      <c r="H157" s="253">
        <v>1872</v>
      </c>
      <c r="I157" s="352">
        <v>1714</v>
      </c>
      <c r="J157" s="211">
        <v>1678</v>
      </c>
      <c r="K157" s="242">
        <v>1735</v>
      </c>
      <c r="L157" s="242">
        <v>1936</v>
      </c>
      <c r="M157" s="242">
        <v>1764</v>
      </c>
      <c r="N157" s="211">
        <v>1667</v>
      </c>
      <c r="O157" s="242">
        <v>1782</v>
      </c>
      <c r="P157" s="242">
        <v>1848</v>
      </c>
      <c r="Q157" s="242">
        <v>1696</v>
      </c>
      <c r="R157" s="211">
        <v>1480</v>
      </c>
      <c r="S157" s="242">
        <v>692</v>
      </c>
      <c r="T157" s="242">
        <v>1546</v>
      </c>
      <c r="U157" s="242">
        <v>1686</v>
      </c>
      <c r="V157" s="211">
        <v>1505</v>
      </c>
      <c r="W157" s="242">
        <v>1616</v>
      </c>
      <c r="X157" s="242">
        <v>1778</v>
      </c>
      <c r="Y157" s="407">
        <v>1442</v>
      </c>
      <c r="Z157" s="211">
        <v>1420</v>
      </c>
      <c r="AA157" s="242">
        <v>1552</v>
      </c>
      <c r="AB157" s="242">
        <v>1666</v>
      </c>
      <c r="AC157" s="407">
        <v>1399</v>
      </c>
      <c r="AD157" s="211">
        <v>1412</v>
      </c>
      <c r="AE157" s="242">
        <v>1572</v>
      </c>
      <c r="AF157" s="242">
        <v>1643</v>
      </c>
      <c r="AG157" s="407">
        <v>1446</v>
      </c>
      <c r="AH157" s="211">
        <v>1272</v>
      </c>
      <c r="AI157" s="242">
        <v>1438</v>
      </c>
      <c r="AJ157" s="242">
        <v>1518</v>
      </c>
      <c r="AK157" s="407">
        <v>1347</v>
      </c>
      <c r="AL157" s="262">
        <v>2428</v>
      </c>
      <c r="AM157" s="242">
        <v>2711</v>
      </c>
      <c r="AN157" s="242">
        <v>3152</v>
      </c>
      <c r="AO157" s="407">
        <v>2709</v>
      </c>
      <c r="AP157" s="262">
        <v>2395.2829999999999</v>
      </c>
      <c r="AQ157" s="242">
        <v>2535</v>
      </c>
      <c r="AR157" s="242"/>
      <c r="AS157" s="407"/>
    </row>
    <row r="158" spans="1:59" s="208" customFormat="1" x14ac:dyDescent="0.25">
      <c r="A158" s="225"/>
      <c r="B158" s="227" t="s">
        <v>53</v>
      </c>
      <c r="C158" s="213"/>
      <c r="E158" s="352">
        <v>994</v>
      </c>
      <c r="F158" s="226">
        <v>1538</v>
      </c>
      <c r="G158" s="253">
        <v>1603</v>
      </c>
      <c r="H158" s="253">
        <v>1503</v>
      </c>
      <c r="I158" s="352">
        <v>1241</v>
      </c>
      <c r="J158" s="211">
        <v>1235</v>
      </c>
      <c r="K158" s="242">
        <v>1505</v>
      </c>
      <c r="L158" s="242">
        <v>1593</v>
      </c>
      <c r="M158" s="242">
        <v>1415</v>
      </c>
      <c r="N158" s="211">
        <v>1022</v>
      </c>
      <c r="O158" s="242">
        <v>1074</v>
      </c>
      <c r="P158" s="242">
        <v>1161</v>
      </c>
      <c r="Q158" s="242">
        <v>1127</v>
      </c>
      <c r="R158" s="211">
        <v>1147</v>
      </c>
      <c r="S158" s="242">
        <v>1102</v>
      </c>
      <c r="T158" s="242">
        <v>1446</v>
      </c>
      <c r="U158" s="242">
        <v>1361</v>
      </c>
      <c r="V158" s="211">
        <v>1330</v>
      </c>
      <c r="W158" s="242">
        <v>1462</v>
      </c>
      <c r="X158" s="242">
        <v>1442</v>
      </c>
      <c r="Y158" s="407">
        <v>1478</v>
      </c>
      <c r="Z158" s="211">
        <v>1422</v>
      </c>
      <c r="AA158" s="242">
        <v>1385</v>
      </c>
      <c r="AB158" s="242">
        <v>1418</v>
      </c>
      <c r="AC158" s="407">
        <v>1385</v>
      </c>
      <c r="AD158" s="211">
        <v>1260</v>
      </c>
      <c r="AE158" s="242">
        <v>1390</v>
      </c>
      <c r="AF158" s="242">
        <v>1420</v>
      </c>
      <c r="AG158" s="407">
        <v>1418</v>
      </c>
      <c r="AH158" s="211">
        <v>1349</v>
      </c>
      <c r="AI158" s="242">
        <v>1391</v>
      </c>
      <c r="AJ158" s="242">
        <v>1337</v>
      </c>
      <c r="AK158" s="407">
        <v>1293</v>
      </c>
      <c r="AL158" s="262">
        <v>1269</v>
      </c>
      <c r="AM158" s="242">
        <v>1322</v>
      </c>
      <c r="AN158" s="242">
        <v>1407</v>
      </c>
      <c r="AO158" s="407">
        <v>1207</v>
      </c>
      <c r="AP158" s="262">
        <v>1010.499</v>
      </c>
      <c r="AQ158" s="242">
        <v>876</v>
      </c>
      <c r="AR158" s="242"/>
      <c r="AS158" s="407"/>
    </row>
    <row r="159" spans="1:59" s="1" customFormat="1" x14ac:dyDescent="0.25">
      <c r="A159" s="306"/>
      <c r="B159" s="290" t="s">
        <v>54</v>
      </c>
      <c r="C159" s="442"/>
      <c r="D159" s="443"/>
      <c r="E159" s="157">
        <f t="shared" ref="E159:L159" si="299">+E158+E157</f>
        <v>2198</v>
      </c>
      <c r="F159" s="155">
        <f t="shared" si="299"/>
        <v>3219</v>
      </c>
      <c r="G159" s="156">
        <f t="shared" si="299"/>
        <v>3434</v>
      </c>
      <c r="H159" s="156">
        <f t="shared" si="299"/>
        <v>3375</v>
      </c>
      <c r="I159" s="157">
        <f t="shared" si="299"/>
        <v>2955</v>
      </c>
      <c r="J159" s="155">
        <f t="shared" si="299"/>
        <v>2913</v>
      </c>
      <c r="K159" s="156">
        <f t="shared" si="299"/>
        <v>3240</v>
      </c>
      <c r="L159" s="156">
        <f t="shared" si="299"/>
        <v>3529</v>
      </c>
      <c r="M159" s="156">
        <f t="shared" ref="M159:R159" si="300">+M158+M157</f>
        <v>3179</v>
      </c>
      <c r="N159" s="155">
        <f t="shared" si="300"/>
        <v>2689</v>
      </c>
      <c r="O159" s="156">
        <f t="shared" si="300"/>
        <v>2856</v>
      </c>
      <c r="P159" s="156">
        <f t="shared" si="300"/>
        <v>3009</v>
      </c>
      <c r="Q159" s="156">
        <f t="shared" si="300"/>
        <v>2823</v>
      </c>
      <c r="R159" s="155">
        <f t="shared" si="300"/>
        <v>2627</v>
      </c>
      <c r="S159" s="156">
        <f t="shared" ref="S159:T159" si="301">+S158+S157</f>
        <v>1794</v>
      </c>
      <c r="T159" s="156">
        <f t="shared" si="301"/>
        <v>2992</v>
      </c>
      <c r="U159" s="156">
        <f t="shared" ref="U159:W159" si="302">+U158+U157</f>
        <v>3047</v>
      </c>
      <c r="V159" s="155">
        <f t="shared" si="302"/>
        <v>2835</v>
      </c>
      <c r="W159" s="156">
        <f t="shared" si="302"/>
        <v>3078</v>
      </c>
      <c r="X159" s="156">
        <f t="shared" ref="X159:AA159" si="303">+X158+X157</f>
        <v>3220</v>
      </c>
      <c r="Y159" s="157">
        <f t="shared" si="303"/>
        <v>2920</v>
      </c>
      <c r="Z159" s="155">
        <f t="shared" si="303"/>
        <v>2842</v>
      </c>
      <c r="AA159" s="156">
        <f t="shared" si="303"/>
        <v>2937</v>
      </c>
      <c r="AB159" s="156">
        <f t="shared" ref="AB159:AD159" si="304">+AB158+AB157</f>
        <v>3084</v>
      </c>
      <c r="AC159" s="157">
        <f t="shared" si="304"/>
        <v>2784</v>
      </c>
      <c r="AD159" s="155">
        <f t="shared" si="304"/>
        <v>2672</v>
      </c>
      <c r="AE159" s="156">
        <f>+AE158+AE157-1</f>
        <v>2961</v>
      </c>
      <c r="AF159" s="156">
        <f t="shared" ref="AF159:AG159" si="305">+AF158+AF157</f>
        <v>3063</v>
      </c>
      <c r="AG159" s="157">
        <f t="shared" si="305"/>
        <v>2864</v>
      </c>
      <c r="AH159" s="155">
        <f>+AH158+AH157+1</f>
        <v>2622</v>
      </c>
      <c r="AI159" s="156">
        <f>+AI158+AI157</f>
        <v>2829</v>
      </c>
      <c r="AJ159" s="156">
        <f t="shared" ref="AJ159:AK159" si="306">+AJ158+AJ157</f>
        <v>2855</v>
      </c>
      <c r="AK159" s="157">
        <f t="shared" si="306"/>
        <v>2640</v>
      </c>
      <c r="AL159" s="155">
        <f>+AL158+AL157</f>
        <v>3697</v>
      </c>
      <c r="AM159" s="156">
        <f t="shared" ref="AM159:AO159" si="307">+AM158+AM157</f>
        <v>4033</v>
      </c>
      <c r="AN159" s="156">
        <f t="shared" si="307"/>
        <v>4559</v>
      </c>
      <c r="AO159" s="157">
        <f t="shared" si="307"/>
        <v>3916</v>
      </c>
      <c r="AP159" s="155">
        <f>+AP158+AP157</f>
        <v>3405.7820000000002</v>
      </c>
      <c r="AQ159" s="156">
        <f t="shared" ref="AQ159:AS159" si="308">+AQ158+AQ157</f>
        <v>3411</v>
      </c>
      <c r="AR159" s="156">
        <f t="shared" si="308"/>
        <v>0</v>
      </c>
      <c r="AS159" s="157">
        <f t="shared" si="308"/>
        <v>0</v>
      </c>
      <c r="AT159" s="347"/>
      <c r="AU159" s="347"/>
      <c r="AV159" s="347"/>
      <c r="AW159" s="347"/>
      <c r="AX159" s="347"/>
      <c r="AY159" s="347"/>
      <c r="AZ159" s="347"/>
      <c r="BA159" s="347"/>
      <c r="BB159" s="347"/>
      <c r="BC159" s="347"/>
      <c r="BD159" s="347"/>
      <c r="BE159" s="347"/>
      <c r="BF159" s="347"/>
      <c r="BG159" s="347"/>
    </row>
    <row r="160" spans="1:59" s="208" customFormat="1" x14ac:dyDescent="0.25">
      <c r="A160" s="225"/>
      <c r="B160" s="292" t="s">
        <v>104</v>
      </c>
      <c r="C160" s="213"/>
      <c r="E160" s="227"/>
      <c r="F160" s="225"/>
      <c r="I160" s="227"/>
      <c r="J160" s="288"/>
      <c r="K160" s="243"/>
      <c r="L160" s="243"/>
      <c r="N160" s="225"/>
      <c r="R160" s="225"/>
      <c r="V160" s="225"/>
      <c r="Y160" s="227"/>
      <c r="Z160" s="225"/>
      <c r="AC160" s="227"/>
      <c r="AD160" s="225"/>
      <c r="AG160" s="227"/>
      <c r="AH160" s="225"/>
      <c r="AK160" s="227"/>
      <c r="AL160" s="225"/>
      <c r="AO160" s="227"/>
      <c r="AP160" s="225"/>
      <c r="AS160" s="227"/>
    </row>
    <row r="161" spans="1:59" s="208" customFormat="1" x14ac:dyDescent="0.25">
      <c r="A161" s="225"/>
      <c r="B161" s="227" t="s">
        <v>52</v>
      </c>
      <c r="C161" s="301"/>
      <c r="E161" s="227">
        <v>3.65</v>
      </c>
      <c r="F161" s="225">
        <v>3.69</v>
      </c>
      <c r="G161" s="208">
        <v>3.76</v>
      </c>
      <c r="H161" s="208">
        <v>3.64</v>
      </c>
      <c r="I161" s="227">
        <v>3.73</v>
      </c>
      <c r="J161" s="288">
        <v>3.68</v>
      </c>
      <c r="K161" s="243">
        <v>3.54</v>
      </c>
      <c r="L161" s="243">
        <v>3.57</v>
      </c>
      <c r="M161" s="243">
        <v>3.62</v>
      </c>
      <c r="N161" s="288">
        <v>3.49</v>
      </c>
      <c r="O161" s="243">
        <v>3.39</v>
      </c>
      <c r="P161" s="243">
        <v>3.47</v>
      </c>
      <c r="Q161" s="278">
        <v>3.59</v>
      </c>
      <c r="R161" s="351">
        <v>3.56</v>
      </c>
      <c r="S161" s="243">
        <v>3.12</v>
      </c>
      <c r="T161" s="243">
        <v>3.25</v>
      </c>
      <c r="U161" s="243">
        <v>3.45</v>
      </c>
      <c r="V161" s="288">
        <v>3.24</v>
      </c>
      <c r="W161" s="243">
        <v>3.41</v>
      </c>
      <c r="X161" s="243">
        <v>3.37</v>
      </c>
      <c r="Y161" s="326">
        <v>3.52</v>
      </c>
      <c r="Z161" s="288">
        <v>3.29</v>
      </c>
      <c r="AA161" s="243">
        <v>3.26</v>
      </c>
      <c r="AB161" s="243">
        <v>3.34</v>
      </c>
      <c r="AC161" s="326">
        <v>3.31</v>
      </c>
      <c r="AD161" s="288">
        <v>3.34</v>
      </c>
      <c r="AE161" s="243">
        <v>3.38</v>
      </c>
      <c r="AF161" s="243">
        <v>3.46</v>
      </c>
      <c r="AG161" s="326">
        <v>3.47</v>
      </c>
      <c r="AH161" s="288">
        <v>3.43</v>
      </c>
      <c r="AI161" s="243">
        <v>3.43</v>
      </c>
      <c r="AJ161" s="243">
        <v>3.48</v>
      </c>
      <c r="AK161" s="326">
        <v>3.61</v>
      </c>
      <c r="AL161" s="225">
        <v>2.84</v>
      </c>
      <c r="AM161" s="245">
        <v>2.9</v>
      </c>
      <c r="AN161" s="243">
        <v>2.97</v>
      </c>
      <c r="AO161" s="326">
        <v>2.93</v>
      </c>
      <c r="AP161" s="225">
        <v>2.83</v>
      </c>
      <c r="AQ161" s="245">
        <v>3.03</v>
      </c>
      <c r="AR161" s="243"/>
      <c r="AS161" s="326"/>
    </row>
    <row r="162" spans="1:59" s="208" customFormat="1" x14ac:dyDescent="0.25">
      <c r="A162" s="225"/>
      <c r="B162" s="227" t="s">
        <v>53</v>
      </c>
      <c r="C162" s="301"/>
      <c r="E162" s="227">
        <v>1.53</v>
      </c>
      <c r="F162" s="225">
        <v>1.79</v>
      </c>
      <c r="G162" s="208">
        <v>1.35</v>
      </c>
      <c r="H162" s="208">
        <v>1.39</v>
      </c>
      <c r="I162" s="227">
        <v>1.57</v>
      </c>
      <c r="J162" s="288">
        <v>1.31</v>
      </c>
      <c r="K162" s="243">
        <v>1.1200000000000001</v>
      </c>
      <c r="L162" s="245">
        <v>1.1000000000000001</v>
      </c>
      <c r="M162" s="243">
        <v>1.27</v>
      </c>
      <c r="N162" s="288">
        <v>1.21</v>
      </c>
      <c r="O162" s="243">
        <v>1.18</v>
      </c>
      <c r="P162" s="243">
        <v>1.24</v>
      </c>
      <c r="Q162" s="278">
        <v>1.03</v>
      </c>
      <c r="R162" s="351">
        <v>1.02</v>
      </c>
      <c r="S162" s="243">
        <v>1.07</v>
      </c>
      <c r="T162" s="243">
        <v>0.98</v>
      </c>
      <c r="U162" s="243">
        <v>1.02</v>
      </c>
      <c r="V162" s="288">
        <v>1.1100000000000001</v>
      </c>
      <c r="W162" s="243">
        <v>1.03</v>
      </c>
      <c r="X162" s="243">
        <v>1.17</v>
      </c>
      <c r="Y162" s="482">
        <v>1</v>
      </c>
      <c r="Z162" s="288">
        <v>1.1100000000000001</v>
      </c>
      <c r="AA162" s="243">
        <v>0.95</v>
      </c>
      <c r="AB162" s="243">
        <v>1.03</v>
      </c>
      <c r="AC162" s="482">
        <v>1.08</v>
      </c>
      <c r="AD162" s="288">
        <v>1.05</v>
      </c>
      <c r="AE162" s="243">
        <v>1.03</v>
      </c>
      <c r="AF162" s="243">
        <v>1.01</v>
      </c>
      <c r="AG162" s="482">
        <v>1.03</v>
      </c>
      <c r="AH162" s="288">
        <v>1.05</v>
      </c>
      <c r="AI162" s="243">
        <v>1.0900000000000001</v>
      </c>
      <c r="AJ162" s="243">
        <v>1.03</v>
      </c>
      <c r="AK162" s="482">
        <v>1.07</v>
      </c>
      <c r="AL162" s="288">
        <v>0.99</v>
      </c>
      <c r="AM162" s="245">
        <v>1.07</v>
      </c>
      <c r="AN162" s="243">
        <v>1.1499999999999999</v>
      </c>
      <c r="AO162" s="482">
        <v>1.2</v>
      </c>
      <c r="AP162" s="288">
        <v>1.24</v>
      </c>
      <c r="AQ162" s="245">
        <v>1.24</v>
      </c>
      <c r="AR162" s="243"/>
      <c r="AS162" s="482"/>
    </row>
    <row r="163" spans="1:59" s="1" customFormat="1" x14ac:dyDescent="0.25">
      <c r="A163" s="306"/>
      <c r="B163" s="290" t="s">
        <v>56</v>
      </c>
      <c r="C163" s="444"/>
      <c r="D163" s="445"/>
      <c r="E163" s="150">
        <v>2.69</v>
      </c>
      <c r="F163" s="148">
        <v>2.78</v>
      </c>
      <c r="G163" s="149">
        <v>2.63</v>
      </c>
      <c r="H163" s="149">
        <v>2.64</v>
      </c>
      <c r="I163" s="150">
        <v>2.82</v>
      </c>
      <c r="J163" s="151">
        <v>2.67</v>
      </c>
      <c r="K163" s="162">
        <v>2.42</v>
      </c>
      <c r="L163" s="162">
        <v>2.4500000000000002</v>
      </c>
      <c r="M163" s="162">
        <v>2.57</v>
      </c>
      <c r="N163" s="151">
        <v>2.62</v>
      </c>
      <c r="O163" s="162">
        <v>2.56</v>
      </c>
      <c r="P163" s="162">
        <v>2.61</v>
      </c>
      <c r="Q163" s="247">
        <v>2.57</v>
      </c>
      <c r="R163" s="264">
        <v>2.4500000000000002</v>
      </c>
      <c r="S163" s="162">
        <v>1.86</v>
      </c>
      <c r="T163" s="162">
        <v>2.15</v>
      </c>
      <c r="U163" s="162">
        <v>2.36</v>
      </c>
      <c r="V163" s="151">
        <v>2.2400000000000002</v>
      </c>
      <c r="W163" s="162">
        <v>2.2799999999999998</v>
      </c>
      <c r="X163" s="162">
        <v>2.38</v>
      </c>
      <c r="Y163" s="473">
        <v>2.2400000000000002</v>
      </c>
      <c r="Z163" s="263">
        <v>2.2000000000000002</v>
      </c>
      <c r="AA163" s="162">
        <v>2.17</v>
      </c>
      <c r="AB163" s="162">
        <v>2.2799999999999998</v>
      </c>
      <c r="AC163" s="497">
        <v>2.2000000000000002</v>
      </c>
      <c r="AD163" s="263">
        <v>2.2599999999999998</v>
      </c>
      <c r="AE163" s="162">
        <v>2.2799999999999998</v>
      </c>
      <c r="AF163" s="162">
        <v>2.3199999999999998</v>
      </c>
      <c r="AG163" s="497">
        <v>2.2599999999999998</v>
      </c>
      <c r="AH163" s="263">
        <v>2.21</v>
      </c>
      <c r="AI163" s="162">
        <v>2.2799999999999998</v>
      </c>
      <c r="AJ163" s="162">
        <v>2.33</v>
      </c>
      <c r="AK163" s="497">
        <v>2.37</v>
      </c>
      <c r="AL163" s="263">
        <v>2.21</v>
      </c>
      <c r="AM163" s="246">
        <v>2.2999999999999998</v>
      </c>
      <c r="AN163" s="162">
        <v>2.41</v>
      </c>
      <c r="AO163" s="497">
        <v>2.4</v>
      </c>
      <c r="AP163" s="263">
        <v>2.36</v>
      </c>
      <c r="AQ163" s="246">
        <v>2.57</v>
      </c>
      <c r="AR163" s="162"/>
      <c r="AS163" s="497"/>
      <c r="AT163" s="347"/>
      <c r="AU163" s="347"/>
      <c r="AV163" s="347"/>
      <c r="AW163" s="347"/>
      <c r="AX163" s="347"/>
      <c r="AY163" s="347"/>
      <c r="AZ163" s="347"/>
      <c r="BA163" s="347"/>
      <c r="BB163" s="347"/>
      <c r="BC163" s="347"/>
      <c r="BD163" s="347"/>
      <c r="BE163" s="347"/>
      <c r="BF163" s="347"/>
      <c r="BG163" s="347"/>
    </row>
    <row r="164" spans="1:59" s="208" customFormat="1" x14ac:dyDescent="0.25">
      <c r="A164" s="225"/>
      <c r="B164" s="292" t="s">
        <v>100</v>
      </c>
      <c r="C164" s="213"/>
      <c r="E164" s="227"/>
      <c r="F164" s="225"/>
      <c r="I164" s="227"/>
      <c r="J164" s="225"/>
      <c r="K164" s="243"/>
      <c r="L164" s="243"/>
      <c r="N164" s="225"/>
      <c r="R164" s="225"/>
      <c r="V164" s="225"/>
      <c r="Y164" s="227"/>
      <c r="Z164" s="225"/>
      <c r="AC164" s="227"/>
      <c r="AD164" s="225"/>
      <c r="AG164" s="227"/>
      <c r="AH164" s="225"/>
      <c r="AK164" s="227"/>
      <c r="AL164" s="225"/>
      <c r="AO164" s="227"/>
      <c r="AP164" s="225"/>
      <c r="AS164" s="227"/>
    </row>
    <row r="165" spans="1:59" s="208" customFormat="1" x14ac:dyDescent="0.25">
      <c r="A165" s="225"/>
      <c r="B165" s="227" t="s">
        <v>52</v>
      </c>
      <c r="C165" s="213"/>
      <c r="E165" s="352">
        <v>119471</v>
      </c>
      <c r="F165" s="226">
        <v>166656</v>
      </c>
      <c r="G165" s="253">
        <v>188615</v>
      </c>
      <c r="H165" s="253">
        <v>188699</v>
      </c>
      <c r="I165" s="352">
        <v>174553</v>
      </c>
      <c r="J165" s="211">
        <v>173176</v>
      </c>
      <c r="K165" s="242">
        <v>164360</v>
      </c>
      <c r="L165" s="242">
        <v>187663</v>
      </c>
      <c r="M165" s="242">
        <v>175473</v>
      </c>
      <c r="N165" s="211">
        <v>157924</v>
      </c>
      <c r="O165" s="242">
        <v>159624</v>
      </c>
      <c r="P165" s="242">
        <v>166882</v>
      </c>
      <c r="Q165" s="242">
        <v>163717</v>
      </c>
      <c r="R165" s="211">
        <v>143335</v>
      </c>
      <c r="S165" s="242">
        <v>57221</v>
      </c>
      <c r="T165" s="242">
        <v>139144</v>
      </c>
      <c r="U165" s="242">
        <v>164345</v>
      </c>
      <c r="V165" s="211">
        <v>139194</v>
      </c>
      <c r="W165" s="242">
        <v>156200</v>
      </c>
      <c r="X165" s="242">
        <v>166400.20000000001</v>
      </c>
      <c r="Y165" s="407">
        <v>142642</v>
      </c>
      <c r="Z165" s="211">
        <v>130171</v>
      </c>
      <c r="AA165" s="242">
        <v>140344</v>
      </c>
      <c r="AB165" s="242">
        <v>154797</v>
      </c>
      <c r="AC165" s="407">
        <v>128351</v>
      </c>
      <c r="AD165" s="211">
        <v>130123</v>
      </c>
      <c r="AE165" s="242">
        <v>147723</v>
      </c>
      <c r="AF165" s="242">
        <v>157977</v>
      </c>
      <c r="AG165" s="407">
        <v>138182</v>
      </c>
      <c r="AH165" s="211">
        <v>120584</v>
      </c>
      <c r="AI165" s="242">
        <v>136475</v>
      </c>
      <c r="AJ165" s="242">
        <v>146620</v>
      </c>
      <c r="AK165" s="407">
        <v>134612</v>
      </c>
      <c r="AL165" s="262">
        <v>185811</v>
      </c>
      <c r="AM165" s="242">
        <v>212980</v>
      </c>
      <c r="AN165" s="242">
        <v>255126</v>
      </c>
      <c r="AO165" s="407">
        <v>216964</v>
      </c>
      <c r="AP165" s="262">
        <v>181877</v>
      </c>
      <c r="AQ165" s="242">
        <v>207693</v>
      </c>
      <c r="AR165" s="242"/>
      <c r="AS165" s="407"/>
    </row>
    <row r="166" spans="1:59" s="208" customFormat="1" x14ac:dyDescent="0.25">
      <c r="A166" s="225"/>
      <c r="B166" s="227" t="s">
        <v>53</v>
      </c>
      <c r="C166" s="213"/>
      <c r="E166" s="352">
        <v>18316</v>
      </c>
      <c r="F166" s="226">
        <v>29651</v>
      </c>
      <c r="G166" s="253">
        <v>21394</v>
      </c>
      <c r="H166" s="253">
        <v>18547</v>
      </c>
      <c r="I166" s="352">
        <v>21411</v>
      </c>
      <c r="J166" s="211">
        <v>22402</v>
      </c>
      <c r="K166" s="242">
        <v>18779</v>
      </c>
      <c r="L166" s="242">
        <v>16811</v>
      </c>
      <c r="M166" s="242">
        <v>19681</v>
      </c>
      <c r="N166" s="211">
        <v>13589</v>
      </c>
      <c r="O166" s="242">
        <v>11543</v>
      </c>
      <c r="P166" s="242">
        <v>13387</v>
      </c>
      <c r="Q166" s="242">
        <v>10973</v>
      </c>
      <c r="R166" s="211">
        <v>11233</v>
      </c>
      <c r="S166" s="242">
        <v>12393</v>
      </c>
      <c r="T166" s="242">
        <v>15760</v>
      </c>
      <c r="U166" s="242">
        <v>18143</v>
      </c>
      <c r="V166" s="211">
        <v>17762</v>
      </c>
      <c r="W166" s="242">
        <v>15398</v>
      </c>
      <c r="X166" s="242">
        <v>17206.2</v>
      </c>
      <c r="Y166" s="407">
        <v>17572</v>
      </c>
      <c r="Z166" s="211">
        <v>18870</v>
      </c>
      <c r="AA166" s="242">
        <v>15487</v>
      </c>
      <c r="AB166" s="242">
        <v>24641</v>
      </c>
      <c r="AC166" s="407">
        <v>16236</v>
      </c>
      <c r="AD166" s="211">
        <v>17361</v>
      </c>
      <c r="AE166" s="242">
        <v>19264</v>
      </c>
      <c r="AF166" s="242">
        <v>24045</v>
      </c>
      <c r="AG166" s="407">
        <v>23742</v>
      </c>
      <c r="AH166" s="211">
        <v>16516</v>
      </c>
      <c r="AI166" s="242">
        <v>21691</v>
      </c>
      <c r="AJ166" s="242">
        <v>20465</v>
      </c>
      <c r="AK166" s="407">
        <v>13441</v>
      </c>
      <c r="AL166" s="262">
        <v>13780</v>
      </c>
      <c r="AM166" s="242">
        <v>13176</v>
      </c>
      <c r="AN166" s="242">
        <v>11731</v>
      </c>
      <c r="AO166" s="407">
        <v>13005</v>
      </c>
      <c r="AP166" s="262">
        <v>13660</v>
      </c>
      <c r="AQ166" s="242">
        <v>9460</v>
      </c>
      <c r="AR166" s="242"/>
      <c r="AS166" s="407"/>
    </row>
    <row r="167" spans="1:59" s="1" customFormat="1" x14ac:dyDescent="0.25">
      <c r="A167" s="306"/>
      <c r="B167" s="290" t="s">
        <v>54</v>
      </c>
      <c r="C167" s="442"/>
      <c r="D167" s="443"/>
      <c r="E167" s="157">
        <f t="shared" ref="E167:M167" si="309">+E166+E165</f>
        <v>137787</v>
      </c>
      <c r="F167" s="155">
        <f t="shared" si="309"/>
        <v>196307</v>
      </c>
      <c r="G167" s="156">
        <f t="shared" si="309"/>
        <v>210009</v>
      </c>
      <c r="H167" s="156">
        <f t="shared" si="309"/>
        <v>207246</v>
      </c>
      <c r="I167" s="157">
        <f t="shared" si="309"/>
        <v>195964</v>
      </c>
      <c r="J167" s="155">
        <f t="shared" si="309"/>
        <v>195578</v>
      </c>
      <c r="K167" s="156">
        <f t="shared" si="309"/>
        <v>183139</v>
      </c>
      <c r="L167" s="156">
        <f t="shared" si="309"/>
        <v>204474</v>
      </c>
      <c r="M167" s="156">
        <f t="shared" si="309"/>
        <v>195154</v>
      </c>
      <c r="N167" s="155">
        <f t="shared" ref="N167:S167" si="310">+N166+N165</f>
        <v>171513</v>
      </c>
      <c r="O167" s="156">
        <f t="shared" si="310"/>
        <v>171167</v>
      </c>
      <c r="P167" s="156">
        <f t="shared" si="310"/>
        <v>180269</v>
      </c>
      <c r="Q167" s="156">
        <f t="shared" si="310"/>
        <v>174690</v>
      </c>
      <c r="R167" s="155">
        <f t="shared" si="310"/>
        <v>154568</v>
      </c>
      <c r="S167" s="156">
        <f t="shared" si="310"/>
        <v>69614</v>
      </c>
      <c r="T167" s="156">
        <f t="shared" ref="T167:U167" si="311">+T166+T165</f>
        <v>154904</v>
      </c>
      <c r="U167" s="156">
        <f t="shared" si="311"/>
        <v>182488</v>
      </c>
      <c r="V167" s="155">
        <f t="shared" ref="V167:W167" si="312">+V166+V165</f>
        <v>156956</v>
      </c>
      <c r="W167" s="156">
        <f t="shared" si="312"/>
        <v>171598</v>
      </c>
      <c r="X167" s="156">
        <f t="shared" ref="X167:AA167" si="313">+X166+X165</f>
        <v>183606.40000000002</v>
      </c>
      <c r="Y167" s="157">
        <f t="shared" si="313"/>
        <v>160214</v>
      </c>
      <c r="Z167" s="155">
        <f t="shared" si="313"/>
        <v>149041</v>
      </c>
      <c r="AA167" s="156">
        <f t="shared" si="313"/>
        <v>155831</v>
      </c>
      <c r="AB167" s="156">
        <f t="shared" ref="AB167:AE167" si="314">+AB166+AB165</f>
        <v>179438</v>
      </c>
      <c r="AC167" s="157">
        <f t="shared" si="314"/>
        <v>144587</v>
      </c>
      <c r="AD167" s="155">
        <f t="shared" si="314"/>
        <v>147484</v>
      </c>
      <c r="AE167" s="156">
        <f t="shared" si="314"/>
        <v>166987</v>
      </c>
      <c r="AF167" s="156">
        <f t="shared" ref="AF167:AI167" si="315">+AF166+AF165</f>
        <v>182022</v>
      </c>
      <c r="AG167" s="157">
        <f t="shared" si="315"/>
        <v>161924</v>
      </c>
      <c r="AH167" s="155">
        <f t="shared" si="315"/>
        <v>137100</v>
      </c>
      <c r="AI167" s="156">
        <f t="shared" si="315"/>
        <v>158166</v>
      </c>
      <c r="AJ167" s="156">
        <f t="shared" ref="AJ167:AO167" si="316">+AJ166+AJ165</f>
        <v>167085</v>
      </c>
      <c r="AK167" s="157">
        <f t="shared" si="316"/>
        <v>148053</v>
      </c>
      <c r="AL167" s="155">
        <f t="shared" si="316"/>
        <v>199591</v>
      </c>
      <c r="AM167" s="156">
        <f t="shared" si="316"/>
        <v>226156</v>
      </c>
      <c r="AN167" s="156">
        <f t="shared" si="316"/>
        <v>266857</v>
      </c>
      <c r="AO167" s="157">
        <f t="shared" si="316"/>
        <v>229969</v>
      </c>
      <c r="AP167" s="155">
        <f t="shared" ref="AP167:AS167" si="317">+AP166+AP165</f>
        <v>195537</v>
      </c>
      <c r="AQ167" s="156">
        <f t="shared" si="317"/>
        <v>217153</v>
      </c>
      <c r="AR167" s="156">
        <f t="shared" si="317"/>
        <v>0</v>
      </c>
      <c r="AS167" s="157">
        <f t="shared" si="317"/>
        <v>0</v>
      </c>
      <c r="AT167" s="347"/>
      <c r="AU167" s="347"/>
      <c r="AV167" s="347"/>
      <c r="AW167" s="347"/>
      <c r="AX167" s="347"/>
      <c r="AY167" s="347"/>
      <c r="AZ167" s="347"/>
      <c r="BA167" s="347"/>
      <c r="BB167" s="347"/>
      <c r="BC167" s="347"/>
      <c r="BD167" s="347"/>
      <c r="BE167" s="347"/>
      <c r="BF167" s="347"/>
      <c r="BG167" s="347"/>
    </row>
    <row r="168" spans="1:59" s="208" customFormat="1" x14ac:dyDescent="0.25">
      <c r="A168" s="225"/>
      <c r="B168" s="292" t="s">
        <v>124</v>
      </c>
      <c r="C168" s="213"/>
      <c r="E168" s="352"/>
      <c r="F168" s="226"/>
      <c r="G168" s="253"/>
      <c r="H168" s="253"/>
      <c r="I168" s="352"/>
      <c r="J168" s="226"/>
      <c r="K168" s="253"/>
      <c r="L168" s="242"/>
      <c r="M168" s="253"/>
      <c r="N168" s="226"/>
      <c r="O168" s="253"/>
      <c r="P168" s="253"/>
      <c r="Q168" s="253"/>
      <c r="R168" s="226"/>
      <c r="S168" s="253"/>
      <c r="T168" s="253"/>
      <c r="U168" s="253"/>
      <c r="V168" s="226"/>
      <c r="W168" s="253"/>
      <c r="X168" s="253"/>
      <c r="Y168" s="352"/>
      <c r="Z168" s="226"/>
      <c r="AA168" s="253"/>
      <c r="AB168" s="253"/>
      <c r="AC168" s="352"/>
      <c r="AD168" s="226"/>
      <c r="AE168" s="253"/>
      <c r="AF168" s="253"/>
      <c r="AG168" s="352"/>
      <c r="AH168" s="226"/>
      <c r="AI168" s="253"/>
      <c r="AJ168" s="253"/>
      <c r="AK168" s="352"/>
      <c r="AL168" s="226"/>
      <c r="AM168" s="253"/>
      <c r="AN168" s="253"/>
      <c r="AO168" s="352"/>
      <c r="AP168" s="226"/>
      <c r="AQ168" s="253"/>
      <c r="AR168" s="253"/>
      <c r="AS168" s="352"/>
    </row>
    <row r="169" spans="1:59" s="208" customFormat="1" x14ac:dyDescent="0.25">
      <c r="A169" s="225"/>
      <c r="B169" s="227" t="s">
        <v>52</v>
      </c>
      <c r="C169" s="213"/>
      <c r="E169" s="352">
        <v>1209</v>
      </c>
      <c r="F169" s="226">
        <v>1241</v>
      </c>
      <c r="G169" s="253">
        <v>992</v>
      </c>
      <c r="H169" s="253">
        <v>1156</v>
      </c>
      <c r="I169" s="352">
        <v>1292</v>
      </c>
      <c r="J169" s="211">
        <v>1140</v>
      </c>
      <c r="K169" s="242">
        <v>1209</v>
      </c>
      <c r="L169" s="242">
        <v>1172</v>
      </c>
      <c r="M169" s="242">
        <v>1163</v>
      </c>
      <c r="N169" s="211">
        <v>1139</v>
      </c>
      <c r="O169" s="242">
        <v>1322</v>
      </c>
      <c r="P169" s="242">
        <v>1321</v>
      </c>
      <c r="Q169" s="242">
        <v>1366</v>
      </c>
      <c r="R169" s="211">
        <v>1499</v>
      </c>
      <c r="S169" s="242">
        <v>2048</v>
      </c>
      <c r="T169" s="242">
        <v>1558</v>
      </c>
      <c r="U169" s="242">
        <v>1540</v>
      </c>
      <c r="V169" s="211">
        <v>1581</v>
      </c>
      <c r="W169" s="242">
        <v>1566</v>
      </c>
      <c r="X169" s="242">
        <v>1575</v>
      </c>
      <c r="Y169" s="407">
        <v>1879</v>
      </c>
      <c r="Z169" s="211">
        <v>1820</v>
      </c>
      <c r="AA169" s="242">
        <v>1843</v>
      </c>
      <c r="AB169" s="242">
        <v>1764</v>
      </c>
      <c r="AC169" s="407">
        <v>2072</v>
      </c>
      <c r="AD169" s="211">
        <v>2042</v>
      </c>
      <c r="AE169" s="242">
        <v>2035</v>
      </c>
      <c r="AF169" s="242">
        <v>2021</v>
      </c>
      <c r="AG169" s="407">
        <v>2212</v>
      </c>
      <c r="AH169" s="211">
        <v>2456</v>
      </c>
      <c r="AI169" s="242">
        <v>2211</v>
      </c>
      <c r="AJ169" s="242">
        <v>2405</v>
      </c>
      <c r="AK169" s="407">
        <v>2543</v>
      </c>
      <c r="AL169" s="211">
        <v>2041</v>
      </c>
      <c r="AM169" s="242">
        <v>1984</v>
      </c>
      <c r="AN169" s="242">
        <v>1942</v>
      </c>
      <c r="AO169" s="407">
        <v>2080</v>
      </c>
      <c r="AP169" s="211">
        <v>2085</v>
      </c>
      <c r="AQ169" s="242">
        <v>2360</v>
      </c>
      <c r="AR169" s="242"/>
      <c r="AS169" s="407"/>
    </row>
    <row r="170" spans="1:59" s="208" customFormat="1" x14ac:dyDescent="0.25">
      <c r="A170" s="225"/>
      <c r="B170" s="227" t="s">
        <v>53</v>
      </c>
      <c r="C170" s="213"/>
      <c r="E170" s="352">
        <v>128</v>
      </c>
      <c r="F170" s="226">
        <v>103</v>
      </c>
      <c r="G170" s="253">
        <v>129</v>
      </c>
      <c r="H170" s="253">
        <v>145</v>
      </c>
      <c r="I170" s="352">
        <v>162</v>
      </c>
      <c r="J170" s="211">
        <v>145</v>
      </c>
      <c r="K170" s="242">
        <v>139</v>
      </c>
      <c r="L170" s="242">
        <v>138</v>
      </c>
      <c r="M170" s="242">
        <v>144</v>
      </c>
      <c r="N170" s="211">
        <v>305</v>
      </c>
      <c r="O170" s="242">
        <v>217</v>
      </c>
      <c r="P170" s="242">
        <v>290</v>
      </c>
      <c r="Q170" s="242">
        <v>185</v>
      </c>
      <c r="R170" s="211">
        <v>182</v>
      </c>
      <c r="S170" s="242">
        <v>246</v>
      </c>
      <c r="T170" s="242">
        <v>183</v>
      </c>
      <c r="U170" s="242">
        <v>235</v>
      </c>
      <c r="V170" s="211">
        <v>163</v>
      </c>
      <c r="W170" s="242">
        <v>205</v>
      </c>
      <c r="X170" s="242">
        <v>244</v>
      </c>
      <c r="Y170" s="407">
        <v>164</v>
      </c>
      <c r="Z170" s="211">
        <v>155</v>
      </c>
      <c r="AA170" s="242">
        <v>229</v>
      </c>
      <c r="AB170" s="242">
        <v>279</v>
      </c>
      <c r="AC170" s="407">
        <v>300</v>
      </c>
      <c r="AD170" s="211">
        <v>143</v>
      </c>
      <c r="AE170" s="242">
        <v>245</v>
      </c>
      <c r="AF170" s="242">
        <v>363</v>
      </c>
      <c r="AG170" s="407">
        <v>223</v>
      </c>
      <c r="AH170" s="211">
        <v>253</v>
      </c>
      <c r="AI170" s="242">
        <v>234</v>
      </c>
      <c r="AJ170" s="242">
        <v>277</v>
      </c>
      <c r="AK170" s="407">
        <v>232</v>
      </c>
      <c r="AL170" s="211">
        <v>244</v>
      </c>
      <c r="AM170" s="242">
        <v>269</v>
      </c>
      <c r="AN170" s="242">
        <v>197</v>
      </c>
      <c r="AO170" s="407">
        <v>330</v>
      </c>
      <c r="AP170" s="211">
        <v>327</v>
      </c>
      <c r="AQ170" s="242">
        <v>340</v>
      </c>
      <c r="AR170" s="242"/>
      <c r="AS170" s="407"/>
    </row>
    <row r="171" spans="1:59" s="1" customFormat="1" x14ac:dyDescent="0.25">
      <c r="A171" s="306"/>
      <c r="B171" s="290" t="s">
        <v>54</v>
      </c>
      <c r="C171" s="442"/>
      <c r="D171" s="443"/>
      <c r="E171" s="159">
        <f>+((E169*E157)+(E170*E158))/(E159)</f>
        <v>720.14012738853501</v>
      </c>
      <c r="F171" s="155">
        <f>+((F169*F157)+(F170*F158))/(F159)</f>
        <v>697.27710469089777</v>
      </c>
      <c r="G171" s="158">
        <v>589</v>
      </c>
      <c r="H171" s="158">
        <v>706</v>
      </c>
      <c r="I171" s="159">
        <v>818</v>
      </c>
      <c r="J171" s="155">
        <f>+((J169*J157)+(J170*J158))/(J159)</f>
        <v>718.15825609337458</v>
      </c>
      <c r="K171" s="156">
        <f>+((K169*K157)+(K170*K158))/(K159)</f>
        <v>711.97839506172841</v>
      </c>
      <c r="L171" s="197">
        <f>+((L169*L157)+(L170*L158))/(L159)</f>
        <v>705.24964579200912</v>
      </c>
      <c r="M171" s="156">
        <v>709</v>
      </c>
      <c r="N171" s="155">
        <v>822</v>
      </c>
      <c r="O171" s="156">
        <v>906</v>
      </c>
      <c r="P171" s="156">
        <v>923</v>
      </c>
      <c r="Q171" s="156">
        <v>894</v>
      </c>
      <c r="R171" s="155">
        <v>924</v>
      </c>
      <c r="S171" s="156">
        <v>941</v>
      </c>
      <c r="T171" s="156">
        <v>893</v>
      </c>
      <c r="U171" s="156">
        <v>957</v>
      </c>
      <c r="V171" s="155">
        <v>916</v>
      </c>
      <c r="W171" s="156">
        <v>920</v>
      </c>
      <c r="X171" s="156">
        <v>979</v>
      </c>
      <c r="Y171" s="157">
        <v>1011</v>
      </c>
      <c r="Z171" s="155">
        <v>987</v>
      </c>
      <c r="AA171" s="156">
        <v>1082</v>
      </c>
      <c r="AB171" s="156">
        <v>1081</v>
      </c>
      <c r="AC171" s="157">
        <v>1191</v>
      </c>
      <c r="AD171" s="155">
        <v>1146</v>
      </c>
      <c r="AE171" s="156">
        <v>1195</v>
      </c>
      <c r="AF171" s="156">
        <v>1253</v>
      </c>
      <c r="AG171" s="157">
        <v>1228</v>
      </c>
      <c r="AH171" s="155">
        <v>1322</v>
      </c>
      <c r="AI171" s="156">
        <v>1239</v>
      </c>
      <c r="AJ171" s="156">
        <v>1409</v>
      </c>
      <c r="AK171" s="157">
        <v>1411</v>
      </c>
      <c r="AL171" s="155">
        <v>1424</v>
      </c>
      <c r="AM171" s="156">
        <v>1422</v>
      </c>
      <c r="AN171" s="156">
        <v>1403</v>
      </c>
      <c r="AO171" s="157">
        <v>1541</v>
      </c>
      <c r="AP171" s="155">
        <v>1564</v>
      </c>
      <c r="AQ171" s="156">
        <v>1842</v>
      </c>
      <c r="AR171" s="156"/>
      <c r="AS171" s="157"/>
      <c r="AT171" s="347"/>
      <c r="AU171" s="347"/>
      <c r="AV171" s="347"/>
      <c r="AW171" s="347"/>
      <c r="AX171" s="347"/>
      <c r="AY171" s="347"/>
      <c r="AZ171" s="347"/>
      <c r="BA171" s="347"/>
      <c r="BB171" s="347"/>
      <c r="BC171" s="347"/>
      <c r="BD171" s="347"/>
      <c r="BE171" s="347"/>
      <c r="BF171" s="347"/>
      <c r="BG171" s="347"/>
    </row>
    <row r="172" spans="1:59" s="208" customFormat="1" x14ac:dyDescent="0.25">
      <c r="A172" s="225"/>
      <c r="B172" s="227"/>
      <c r="C172" s="225"/>
      <c r="E172" s="227"/>
      <c r="F172" s="225"/>
      <c r="I172" s="227"/>
      <c r="J172" s="225"/>
      <c r="L172" s="243"/>
      <c r="N172" s="225"/>
      <c r="R172" s="225"/>
      <c r="V172" s="225"/>
      <c r="Y172" s="227"/>
      <c r="Z172" s="225"/>
      <c r="AC172" s="227"/>
      <c r="AD172" s="225"/>
      <c r="AG172" s="227"/>
      <c r="AH172" s="225"/>
      <c r="AK172" s="227"/>
      <c r="AL172" s="225"/>
      <c r="AO172" s="227"/>
      <c r="AP172" s="225"/>
      <c r="AS172" s="227"/>
    </row>
    <row r="173" spans="1:59" s="208" customFormat="1" ht="15.75" x14ac:dyDescent="0.25">
      <c r="A173" s="225"/>
      <c r="B173" s="328"/>
      <c r="C173" s="213"/>
      <c r="E173" s="227"/>
      <c r="F173" s="225"/>
      <c r="I173" s="227"/>
      <c r="J173" s="225"/>
      <c r="L173" s="243"/>
      <c r="N173" s="225"/>
      <c r="R173" s="225"/>
      <c r="V173" s="225"/>
      <c r="Y173" s="227"/>
      <c r="Z173" s="225"/>
      <c r="AC173" s="227"/>
      <c r="AD173" s="225"/>
      <c r="AG173" s="227"/>
      <c r="AH173" s="225"/>
      <c r="AK173" s="227"/>
      <c r="AL173" s="225"/>
      <c r="AO173" s="227"/>
      <c r="AP173" s="225"/>
      <c r="AS173" s="227"/>
    </row>
    <row r="174" spans="1:59" s="208" customFormat="1" x14ac:dyDescent="0.25">
      <c r="A174" s="225"/>
      <c r="B174" s="292" t="s">
        <v>135</v>
      </c>
      <c r="C174" s="213"/>
      <c r="E174" s="227"/>
      <c r="F174" s="225"/>
      <c r="I174" s="227"/>
      <c r="J174" s="225"/>
      <c r="L174" s="243"/>
      <c r="N174" s="225"/>
      <c r="R174" s="225"/>
      <c r="V174" s="225"/>
      <c r="Y174" s="227"/>
      <c r="Z174" s="225"/>
      <c r="AC174" s="227"/>
      <c r="AD174" s="225"/>
      <c r="AG174" s="227"/>
      <c r="AH174" s="225"/>
      <c r="AK174" s="227"/>
      <c r="AL174" s="225"/>
      <c r="AO174" s="227"/>
      <c r="AP174" s="225"/>
      <c r="AS174" s="227"/>
    </row>
    <row r="175" spans="1:59" s="208" customFormat="1" x14ac:dyDescent="0.25">
      <c r="A175" s="225"/>
      <c r="B175" s="250" t="s">
        <v>66</v>
      </c>
      <c r="C175" s="210"/>
      <c r="E175" s="362">
        <v>1656</v>
      </c>
      <c r="F175" s="363">
        <v>2389.5</v>
      </c>
      <c r="G175" s="355">
        <v>2219.5</v>
      </c>
      <c r="H175" s="355">
        <v>2809</v>
      </c>
      <c r="I175" s="362">
        <v>2802.8</v>
      </c>
      <c r="J175" s="274">
        <v>2284.6999999999998</v>
      </c>
      <c r="K175" s="275">
        <v>2920.5</v>
      </c>
      <c r="L175" s="275">
        <v>3045.9</v>
      </c>
      <c r="M175" s="275">
        <v>3121.5</v>
      </c>
      <c r="N175" s="274">
        <v>583.4</v>
      </c>
      <c r="O175" s="275">
        <v>1865.4</v>
      </c>
      <c r="P175" s="275">
        <v>3606.7</v>
      </c>
      <c r="Q175" s="275">
        <v>4443.8999999999996</v>
      </c>
      <c r="R175" s="211">
        <v>6430</v>
      </c>
      <c r="S175" s="242">
        <v>2170</v>
      </c>
      <c r="T175" s="242">
        <v>5951</v>
      </c>
      <c r="U175" s="407">
        <v>5878</v>
      </c>
      <c r="V175" s="211">
        <v>8854</v>
      </c>
      <c r="W175" s="242">
        <v>9155</v>
      </c>
      <c r="X175" s="242">
        <v>6678</v>
      </c>
      <c r="Y175" s="407">
        <v>7061</v>
      </c>
      <c r="Z175" s="211">
        <v>8124</v>
      </c>
      <c r="AA175" s="242">
        <v>6630</v>
      </c>
      <c r="AB175" s="242">
        <v>6858</v>
      </c>
      <c r="AC175" s="407">
        <v>7492</v>
      </c>
      <c r="AD175" s="211">
        <v>6712</v>
      </c>
      <c r="AE175" s="242">
        <v>5398</v>
      </c>
      <c r="AF175" s="242">
        <v>4742</v>
      </c>
      <c r="AG175" s="407">
        <v>5870</v>
      </c>
      <c r="AH175" s="211">
        <v>5407</v>
      </c>
      <c r="AI175" s="242">
        <v>4567</v>
      </c>
      <c r="AJ175" s="242">
        <v>4586</v>
      </c>
      <c r="AK175" s="407">
        <v>4954</v>
      </c>
      <c r="AL175" s="242">
        <v>6259</v>
      </c>
      <c r="AM175" s="242">
        <v>6275</v>
      </c>
      <c r="AN175" s="242">
        <v>8034</v>
      </c>
      <c r="AO175" s="407">
        <v>10725</v>
      </c>
      <c r="AP175" s="242">
        <v>13423</v>
      </c>
      <c r="AQ175" s="242">
        <v>9006</v>
      </c>
      <c r="AR175" s="242"/>
      <c r="AS175" s="407"/>
    </row>
    <row r="176" spans="1:59" s="208" customFormat="1" x14ac:dyDescent="0.25">
      <c r="A176" s="225"/>
      <c r="B176" s="250" t="s">
        <v>132</v>
      </c>
      <c r="C176" s="213"/>
      <c r="E176" s="315">
        <v>-1582.5</v>
      </c>
      <c r="F176" s="276">
        <v>-2243.8000000000002</v>
      </c>
      <c r="G176" s="244">
        <v>-2022.7</v>
      </c>
      <c r="H176" s="244">
        <v>-2383.1999999999998</v>
      </c>
      <c r="I176" s="315">
        <v>-2416.4</v>
      </c>
      <c r="J176" s="276">
        <v>-2091.1</v>
      </c>
      <c r="K176" s="244">
        <v>-2305.6</v>
      </c>
      <c r="L176" s="244">
        <v>-2488.5</v>
      </c>
      <c r="M176" s="244">
        <v>-2318.8000000000002</v>
      </c>
      <c r="N176" s="276">
        <v>-60.1</v>
      </c>
      <c r="O176" s="244">
        <v>-1274.2</v>
      </c>
      <c r="P176" s="244">
        <v>-2468.6999999999998</v>
      </c>
      <c r="Q176" s="244">
        <v>-2664</v>
      </c>
      <c r="R176" s="361">
        <v>-2933</v>
      </c>
      <c r="S176" s="417">
        <v>-1899</v>
      </c>
      <c r="T176" s="417">
        <v>-2479</v>
      </c>
      <c r="U176" s="431">
        <v>-2278</v>
      </c>
      <c r="V176" s="361">
        <v>-2797</v>
      </c>
      <c r="W176" s="417">
        <v>-2714</v>
      </c>
      <c r="X176" s="417">
        <v>-2647</v>
      </c>
      <c r="Y176" s="431">
        <v>-3306</v>
      </c>
      <c r="Z176" s="361">
        <v>-3451</v>
      </c>
      <c r="AA176" s="417">
        <v>-3208</v>
      </c>
      <c r="AB176" s="417">
        <v>-3218</v>
      </c>
      <c r="AC176" s="431">
        <v>-3670</v>
      </c>
      <c r="AD176" s="361">
        <v>-3880</v>
      </c>
      <c r="AE176" s="417">
        <v>-3456</v>
      </c>
      <c r="AF176" s="417">
        <v>-3555</v>
      </c>
      <c r="AG176" s="431">
        <v>-4256</v>
      </c>
      <c r="AH176" s="361">
        <v>-4595</v>
      </c>
      <c r="AI176" s="417">
        <v>-3587</v>
      </c>
      <c r="AJ176" s="417">
        <v>-4151</v>
      </c>
      <c r="AK176" s="431">
        <v>-4268</v>
      </c>
      <c r="AL176" s="417">
        <v>-5521</v>
      </c>
      <c r="AM176" s="417">
        <v>-4711</v>
      </c>
      <c r="AN176" s="417">
        <v>-5435</v>
      </c>
      <c r="AO176" s="431">
        <v>-6255</v>
      </c>
      <c r="AP176" s="417">
        <v>-6817</v>
      </c>
      <c r="AQ176" s="417">
        <v>-5679</v>
      </c>
      <c r="AR176" s="417"/>
      <c r="AS176" s="431"/>
    </row>
    <row r="177" spans="1:59" s="208" customFormat="1" x14ac:dyDescent="0.25">
      <c r="A177" s="225"/>
      <c r="B177" s="250"/>
      <c r="C177" s="213"/>
      <c r="E177" s="222">
        <f t="shared" ref="E177:M177" si="318">+E176+E175</f>
        <v>73.5</v>
      </c>
      <c r="F177" s="210">
        <f t="shared" si="318"/>
        <v>145.69999999999982</v>
      </c>
      <c r="G177" s="221">
        <f t="shared" si="318"/>
        <v>196.79999999999995</v>
      </c>
      <c r="H177" s="221">
        <f t="shared" si="318"/>
        <v>425.80000000000018</v>
      </c>
      <c r="I177" s="222">
        <f t="shared" si="318"/>
        <v>386.40000000000009</v>
      </c>
      <c r="J177" s="210">
        <f t="shared" si="318"/>
        <v>193.59999999999991</v>
      </c>
      <c r="K177" s="221">
        <f t="shared" si="318"/>
        <v>614.90000000000009</v>
      </c>
      <c r="L177" s="221">
        <f t="shared" si="318"/>
        <v>557.40000000000009</v>
      </c>
      <c r="M177" s="221">
        <f t="shared" si="318"/>
        <v>802.69999999999982</v>
      </c>
      <c r="N177" s="210">
        <f t="shared" ref="N177:S177" si="319">+N176+N175</f>
        <v>523.29999999999995</v>
      </c>
      <c r="O177" s="221">
        <f t="shared" si="319"/>
        <v>591.20000000000005</v>
      </c>
      <c r="P177" s="221">
        <f t="shared" si="319"/>
        <v>1138</v>
      </c>
      <c r="Q177" s="221">
        <f t="shared" si="319"/>
        <v>1779.8999999999996</v>
      </c>
      <c r="R177" s="425">
        <f t="shared" si="319"/>
        <v>3497</v>
      </c>
      <c r="S177" s="359">
        <f t="shared" si="319"/>
        <v>271</v>
      </c>
      <c r="T177" s="426">
        <f t="shared" ref="T177:U177" si="320">+T176+T175</f>
        <v>3472</v>
      </c>
      <c r="U177" s="432">
        <f t="shared" si="320"/>
        <v>3600</v>
      </c>
      <c r="V177" s="425">
        <f t="shared" ref="V177:W177" si="321">+V176+V175</f>
        <v>6057</v>
      </c>
      <c r="W177" s="426">
        <f t="shared" si="321"/>
        <v>6441</v>
      </c>
      <c r="X177" s="426">
        <f t="shared" ref="X177:AA177" si="322">+X176+X175</f>
        <v>4031</v>
      </c>
      <c r="Y177" s="432">
        <f t="shared" si="322"/>
        <v>3755</v>
      </c>
      <c r="Z177" s="425">
        <f t="shared" si="322"/>
        <v>4673</v>
      </c>
      <c r="AA177" s="426">
        <f t="shared" si="322"/>
        <v>3422</v>
      </c>
      <c r="AB177" s="426">
        <f t="shared" ref="AB177:AE177" si="323">+AB176+AB175</f>
        <v>3640</v>
      </c>
      <c r="AC177" s="432">
        <f t="shared" si="323"/>
        <v>3822</v>
      </c>
      <c r="AD177" s="425">
        <f t="shared" si="323"/>
        <v>2832</v>
      </c>
      <c r="AE177" s="426">
        <f t="shared" si="323"/>
        <v>1942</v>
      </c>
      <c r="AF177" s="426">
        <f t="shared" ref="AF177:AI177" si="324">+AF176+AF175</f>
        <v>1187</v>
      </c>
      <c r="AG177" s="432">
        <f t="shared" si="324"/>
        <v>1614</v>
      </c>
      <c r="AH177" s="425">
        <f t="shared" si="324"/>
        <v>812</v>
      </c>
      <c r="AI177" s="426">
        <f t="shared" si="324"/>
        <v>980</v>
      </c>
      <c r="AJ177" s="426">
        <f t="shared" ref="AJ177:AO177" si="325">+AJ176+AJ175</f>
        <v>435</v>
      </c>
      <c r="AK177" s="432">
        <f t="shared" si="325"/>
        <v>686</v>
      </c>
      <c r="AL177" s="426">
        <f t="shared" si="325"/>
        <v>738</v>
      </c>
      <c r="AM177" s="426">
        <f t="shared" si="325"/>
        <v>1564</v>
      </c>
      <c r="AN177" s="426">
        <f t="shared" si="325"/>
        <v>2599</v>
      </c>
      <c r="AO177" s="432">
        <f t="shared" si="325"/>
        <v>4470</v>
      </c>
      <c r="AP177" s="426">
        <f t="shared" ref="AP177:AS177" si="326">+AP176+AP175</f>
        <v>6606</v>
      </c>
      <c r="AQ177" s="426">
        <f t="shared" si="326"/>
        <v>3327</v>
      </c>
      <c r="AR177" s="426">
        <f t="shared" si="326"/>
        <v>0</v>
      </c>
      <c r="AS177" s="432">
        <f t="shared" si="326"/>
        <v>0</v>
      </c>
    </row>
    <row r="178" spans="1:59" s="208" customFormat="1" x14ac:dyDescent="0.25">
      <c r="A178" s="225"/>
      <c r="B178" s="250" t="s">
        <v>67</v>
      </c>
      <c r="C178" s="213"/>
      <c r="E178" s="222">
        <v>-58.6</v>
      </c>
      <c r="F178" s="210">
        <v>-92</v>
      </c>
      <c r="G178" s="221">
        <v>-136.6</v>
      </c>
      <c r="H178" s="221">
        <v>-179.6</v>
      </c>
      <c r="I178" s="222">
        <v>-106.5</v>
      </c>
      <c r="J178" s="210">
        <v>-155.69999999999999</v>
      </c>
      <c r="K178" s="221">
        <v>-162.30000000000001</v>
      </c>
      <c r="L178" s="221">
        <v>-169.3</v>
      </c>
      <c r="M178" s="221">
        <v>-209.8</v>
      </c>
      <c r="N178" s="210">
        <v>-215.5</v>
      </c>
      <c r="O178" s="221">
        <v>-226.5</v>
      </c>
      <c r="P178" s="221">
        <v>-232.5</v>
      </c>
      <c r="Q178" s="221">
        <v>-240</v>
      </c>
      <c r="R178" s="213">
        <v>-218</v>
      </c>
      <c r="S178" s="214">
        <v>-140</v>
      </c>
      <c r="T178" s="214">
        <v>-207</v>
      </c>
      <c r="U178" s="259">
        <v>-241</v>
      </c>
      <c r="V178" s="213">
        <v>-212</v>
      </c>
      <c r="W178" s="214">
        <v>-211</v>
      </c>
      <c r="X178" s="214">
        <v>-236</v>
      </c>
      <c r="Y178" s="259">
        <v>-227</v>
      </c>
      <c r="Z178" s="213">
        <v>-224</v>
      </c>
      <c r="AA178" s="214">
        <v>-246</v>
      </c>
      <c r="AB178" s="214">
        <v>-261</v>
      </c>
      <c r="AC178" s="259">
        <v>-249</v>
      </c>
      <c r="AD178" s="213">
        <v>-264</v>
      </c>
      <c r="AE178" s="214">
        <v>-285</v>
      </c>
      <c r="AF178" s="214">
        <v>-302</v>
      </c>
      <c r="AG178" s="259">
        <v>-285</v>
      </c>
      <c r="AH178" s="213">
        <v>-264</v>
      </c>
      <c r="AI178" s="214">
        <v>-288</v>
      </c>
      <c r="AJ178" s="214">
        <v>-303</v>
      </c>
      <c r="AK178" s="259">
        <v>-306</v>
      </c>
      <c r="AL178" s="214">
        <v>-433</v>
      </c>
      <c r="AM178" s="214">
        <v>-487</v>
      </c>
      <c r="AN178" s="214">
        <v>-567</v>
      </c>
      <c r="AO178" s="259">
        <v>-525</v>
      </c>
      <c r="AP178" s="214">
        <v>-451</v>
      </c>
      <c r="AQ178" s="214">
        <v>-496</v>
      </c>
      <c r="AR178" s="214"/>
      <c r="AS178" s="259"/>
    </row>
    <row r="179" spans="1:59" s="208" customFormat="1" x14ac:dyDescent="0.25">
      <c r="A179" s="225"/>
      <c r="B179" s="250" t="s">
        <v>68</v>
      </c>
      <c r="C179" s="213"/>
      <c r="E179" s="222">
        <v>-682.6</v>
      </c>
      <c r="F179" s="210">
        <f>-53.7-10.2</f>
        <v>-63.900000000000006</v>
      </c>
      <c r="G179" s="221">
        <f>-60.2-28.1</f>
        <v>-88.300000000000011</v>
      </c>
      <c r="H179" s="221">
        <v>-89.3</v>
      </c>
      <c r="I179" s="222">
        <v>-976.8</v>
      </c>
      <c r="J179" s="210">
        <v>-79.900000000000006</v>
      </c>
      <c r="K179" s="221">
        <v>-187.6</v>
      </c>
      <c r="L179" s="221">
        <f>-25.4-41.4+0.4</f>
        <v>-66.399999999999991</v>
      </c>
      <c r="M179" s="221">
        <f>-46-9.8+2715.5</f>
        <v>2659.7</v>
      </c>
      <c r="N179" s="210">
        <f>-22.1+26.3-350.7-5.2+0.2</f>
        <v>-351.5</v>
      </c>
      <c r="O179" s="221">
        <f>-22.7+15.4-353.8+0.9+1+0.2</f>
        <v>-359.00000000000006</v>
      </c>
      <c r="P179" s="221">
        <f>-25.2-293.2</f>
        <v>-318.39999999999998</v>
      </c>
      <c r="Q179" s="221">
        <f>-72.4-11754.8+1.2</f>
        <v>-11825.999999999998</v>
      </c>
      <c r="R179" s="213">
        <v>-610</v>
      </c>
      <c r="S179" s="214">
        <v>-797</v>
      </c>
      <c r="T179" s="214">
        <v>-134</v>
      </c>
      <c r="U179" s="259">
        <v>-4441</v>
      </c>
      <c r="V179" s="213">
        <v>-886</v>
      </c>
      <c r="W179" s="214">
        <v>-1001</v>
      </c>
      <c r="X179" s="214">
        <v>-938</v>
      </c>
      <c r="Y179" s="259">
        <v>-13335</v>
      </c>
      <c r="Z179" s="213">
        <v>-1100</v>
      </c>
      <c r="AA179" s="214">
        <v>-1195</v>
      </c>
      <c r="AB179" s="214">
        <v>-861</v>
      </c>
      <c r="AC179" s="259">
        <v>-10365</v>
      </c>
      <c r="AD179" s="213">
        <v>-1372</v>
      </c>
      <c r="AE179" s="214">
        <v>-1295</v>
      </c>
      <c r="AF179" s="214">
        <v>-1082</v>
      </c>
      <c r="AG179" s="259">
        <v>5305</v>
      </c>
      <c r="AH179" s="213">
        <v>-1001</v>
      </c>
      <c r="AI179" s="214">
        <v>-1697</v>
      </c>
      <c r="AJ179" s="214">
        <v>-448</v>
      </c>
      <c r="AK179" s="259">
        <v>12157</v>
      </c>
      <c r="AL179" s="214">
        <v>-555</v>
      </c>
      <c r="AM179" s="214">
        <v>-1773</v>
      </c>
      <c r="AN179" s="214">
        <v>-826</v>
      </c>
      <c r="AO179" s="259">
        <v>2855</v>
      </c>
      <c r="AP179" s="214">
        <v>-547</v>
      </c>
      <c r="AQ179" s="214">
        <v>369</v>
      </c>
      <c r="AR179" s="214"/>
      <c r="AS179" s="259"/>
    </row>
    <row r="180" spans="1:59" s="208" customFormat="1" x14ac:dyDescent="0.25">
      <c r="A180" s="225"/>
      <c r="B180" s="250" t="s">
        <v>179</v>
      </c>
      <c r="C180" s="213"/>
      <c r="E180" s="222">
        <v>-8.3000000000000007</v>
      </c>
      <c r="F180" s="210">
        <v>-11.9</v>
      </c>
      <c r="G180" s="221">
        <v>-17.7</v>
      </c>
      <c r="H180" s="221">
        <v>-17.899999999999999</v>
      </c>
      <c r="I180" s="222">
        <v>-20.100000000000001</v>
      </c>
      <c r="J180" s="210">
        <v>-9</v>
      </c>
      <c r="K180" s="221">
        <v>-9.5</v>
      </c>
      <c r="L180" s="221">
        <v>-50.9</v>
      </c>
      <c r="M180" s="221">
        <v>-87.1</v>
      </c>
      <c r="N180" s="210">
        <v>-2.9</v>
      </c>
      <c r="O180" s="221">
        <v>-80.2</v>
      </c>
      <c r="P180" s="221">
        <v>-75</v>
      </c>
      <c r="Q180" s="221">
        <f>-137.7-0.3</f>
        <v>-138</v>
      </c>
      <c r="R180" s="213">
        <v>-288</v>
      </c>
      <c r="S180" s="214">
        <v>-34</v>
      </c>
      <c r="T180" s="214">
        <v>-327</v>
      </c>
      <c r="U180" s="259">
        <v>-276</v>
      </c>
      <c r="V180" s="213">
        <v>-440</v>
      </c>
      <c r="W180" s="214">
        <v>-453</v>
      </c>
      <c r="X180" s="214">
        <v>-269</v>
      </c>
      <c r="Y180" s="259">
        <v>-242</v>
      </c>
      <c r="Z180" s="213">
        <v>-364</v>
      </c>
      <c r="AA180" s="214">
        <v>-94</v>
      </c>
      <c r="AB180" s="214">
        <v>-258</v>
      </c>
      <c r="AC180" s="259">
        <v>-307</v>
      </c>
      <c r="AD180" s="213">
        <v>-29</v>
      </c>
      <c r="AE180" s="214">
        <v>-167</v>
      </c>
      <c r="AF180" s="214">
        <v>-70</v>
      </c>
      <c r="AG180" s="259">
        <v>-89</v>
      </c>
      <c r="AH180" s="213">
        <v>-23</v>
      </c>
      <c r="AI180" s="214">
        <v>-31</v>
      </c>
      <c r="AJ180" s="214">
        <v>-8</v>
      </c>
      <c r="AK180" s="259">
        <v>-21</v>
      </c>
      <c r="AL180" s="214">
        <v>-29</v>
      </c>
      <c r="AM180" s="214">
        <v>-49</v>
      </c>
      <c r="AN180" s="214">
        <v>-229</v>
      </c>
      <c r="AO180" s="259">
        <v>-349</v>
      </c>
      <c r="AP180" s="214">
        <v>-543</v>
      </c>
      <c r="AQ180" s="214">
        <v>-256</v>
      </c>
      <c r="AR180" s="214"/>
      <c r="AS180" s="259"/>
    </row>
    <row r="181" spans="1:59" s="208" customFormat="1" x14ac:dyDescent="0.25">
      <c r="A181" s="225"/>
      <c r="B181" s="250" t="s">
        <v>69</v>
      </c>
      <c r="C181" s="213"/>
      <c r="E181" s="227">
        <v>27</v>
      </c>
      <c r="F181" s="225">
        <f>1.6</f>
        <v>1.6</v>
      </c>
      <c r="G181" s="208">
        <v>8.8000000000000007</v>
      </c>
      <c r="H181" s="208">
        <v>-35.200000000000003</v>
      </c>
      <c r="I181" s="227">
        <v>27.5</v>
      </c>
      <c r="J181" s="210">
        <v>-0.4</v>
      </c>
      <c r="K181" s="221">
        <v>-79.599999999999994</v>
      </c>
      <c r="L181" s="221">
        <v>-89.1</v>
      </c>
      <c r="M181" s="221">
        <v>-123.8</v>
      </c>
      <c r="N181" s="210">
        <v>67.2</v>
      </c>
      <c r="O181" s="221">
        <f>-217.6-0.1</f>
        <v>-217.7</v>
      </c>
      <c r="P181" s="221">
        <v>-235.3</v>
      </c>
      <c r="Q181" s="221">
        <v>-364.5</v>
      </c>
      <c r="R181" s="213">
        <v>-857</v>
      </c>
      <c r="S181" s="214">
        <v>6</v>
      </c>
      <c r="T181" s="214">
        <v>-820</v>
      </c>
      <c r="U181" s="431">
        <v>-866</v>
      </c>
      <c r="V181" s="361">
        <v>-1535</v>
      </c>
      <c r="W181" s="214">
        <v>-1614</v>
      </c>
      <c r="X181" s="214">
        <v>-996</v>
      </c>
      <c r="Y181" s="259">
        <v>236</v>
      </c>
      <c r="Z181" s="361">
        <v>-1220</v>
      </c>
      <c r="AA181" s="214">
        <v>-810</v>
      </c>
      <c r="AB181" s="214">
        <v>-895</v>
      </c>
      <c r="AC181" s="259">
        <v>-834</v>
      </c>
      <c r="AD181" s="361">
        <v>-743</v>
      </c>
      <c r="AE181" s="214">
        <v>-422</v>
      </c>
      <c r="AF181" s="214">
        <v>-261</v>
      </c>
      <c r="AG181" s="259">
        <v>-309</v>
      </c>
      <c r="AH181" s="361">
        <v>-193</v>
      </c>
      <c r="AI181" s="214">
        <v>259</v>
      </c>
      <c r="AJ181" s="214">
        <v>-251</v>
      </c>
      <c r="AK181" s="259">
        <v>-360</v>
      </c>
      <c r="AL181" s="214">
        <v>-44</v>
      </c>
      <c r="AM181" s="214">
        <v>-223</v>
      </c>
      <c r="AN181" s="214">
        <v>-414</v>
      </c>
      <c r="AO181" s="259">
        <v>-921</v>
      </c>
      <c r="AP181" s="214">
        <v>-1516</v>
      </c>
      <c r="AQ181" s="214">
        <v>-721</v>
      </c>
      <c r="AR181" s="214"/>
      <c r="AS181" s="259"/>
    </row>
    <row r="182" spans="1:59" s="1" customFormat="1" ht="15.75" thickBot="1" x14ac:dyDescent="0.3">
      <c r="A182" s="306"/>
      <c r="B182" s="303" t="s">
        <v>70</v>
      </c>
      <c r="C182" s="442"/>
      <c r="D182" s="347"/>
      <c r="E182" s="147">
        <f t="shared" ref="E182:M182" si="327">SUM(E177:E181)</f>
        <v>-649</v>
      </c>
      <c r="F182" s="554">
        <f t="shared" si="327"/>
        <v>-20.500000000000185</v>
      </c>
      <c r="G182" s="146">
        <f t="shared" si="327"/>
        <v>-37.000000000000057</v>
      </c>
      <c r="H182" s="146">
        <f t="shared" si="327"/>
        <v>103.8000000000002</v>
      </c>
      <c r="I182" s="147">
        <f t="shared" si="327"/>
        <v>-689.49999999999989</v>
      </c>
      <c r="J182" s="145">
        <f t="shared" si="327"/>
        <v>-51.400000000000084</v>
      </c>
      <c r="K182" s="146">
        <f t="shared" si="327"/>
        <v>175.90000000000012</v>
      </c>
      <c r="L182" s="146">
        <f t="shared" si="327"/>
        <v>181.70000000000013</v>
      </c>
      <c r="M182" s="146">
        <f t="shared" si="327"/>
        <v>3041.6999999999994</v>
      </c>
      <c r="N182" s="145">
        <f t="shared" ref="N182:S182" si="328">SUM(N177:N181)</f>
        <v>20.599999999999959</v>
      </c>
      <c r="O182" s="146">
        <f t="shared" si="328"/>
        <v>-292.2</v>
      </c>
      <c r="P182" s="146">
        <f t="shared" si="328"/>
        <v>276.8</v>
      </c>
      <c r="Q182" s="146">
        <f t="shared" si="328"/>
        <v>-10788.599999999999</v>
      </c>
      <c r="R182" s="427">
        <f t="shared" si="328"/>
        <v>1524</v>
      </c>
      <c r="S182" s="441">
        <f t="shared" si="328"/>
        <v>-694</v>
      </c>
      <c r="T182" s="428">
        <f t="shared" ref="T182:U182" si="329">SUM(T177:T181)</f>
        <v>1984</v>
      </c>
      <c r="U182" s="428">
        <f t="shared" si="329"/>
        <v>-2224</v>
      </c>
      <c r="V182" s="427">
        <f t="shared" ref="V182:W182" si="330">SUM(V177:V181)</f>
        <v>2984</v>
      </c>
      <c r="W182" s="428">
        <f t="shared" si="330"/>
        <v>3162</v>
      </c>
      <c r="X182" s="428">
        <f t="shared" ref="X182:AA182" si="331">SUM(X177:X181)</f>
        <v>1592</v>
      </c>
      <c r="Y182" s="476">
        <f t="shared" si="331"/>
        <v>-9813</v>
      </c>
      <c r="Z182" s="427">
        <f t="shared" si="331"/>
        <v>1765</v>
      </c>
      <c r="AA182" s="428">
        <f t="shared" si="331"/>
        <v>1077</v>
      </c>
      <c r="AB182" s="428">
        <f t="shared" ref="AB182:AE182" si="332">SUM(AB177:AB181)</f>
        <v>1365</v>
      </c>
      <c r="AC182" s="476">
        <f t="shared" si="332"/>
        <v>-7933</v>
      </c>
      <c r="AD182" s="427">
        <f t="shared" si="332"/>
        <v>424</v>
      </c>
      <c r="AE182" s="555">
        <f t="shared" si="332"/>
        <v>-227</v>
      </c>
      <c r="AF182" s="555">
        <f t="shared" ref="AF182:AI182" si="333">SUM(AF177:AF181)</f>
        <v>-528</v>
      </c>
      <c r="AG182" s="476">
        <f t="shared" si="333"/>
        <v>6236</v>
      </c>
      <c r="AH182" s="554">
        <f t="shared" si="333"/>
        <v>-669</v>
      </c>
      <c r="AI182" s="555">
        <f t="shared" si="333"/>
        <v>-777</v>
      </c>
      <c r="AJ182" s="555">
        <f t="shared" ref="AJ182:AO182" si="334">SUM(AJ177:AJ181)</f>
        <v>-575</v>
      </c>
      <c r="AK182" s="476">
        <f t="shared" si="334"/>
        <v>12156</v>
      </c>
      <c r="AL182" s="554">
        <f t="shared" si="334"/>
        <v>-323</v>
      </c>
      <c r="AM182" s="555">
        <f t="shared" si="334"/>
        <v>-968</v>
      </c>
      <c r="AN182" s="555">
        <f t="shared" si="334"/>
        <v>563</v>
      </c>
      <c r="AO182" s="476">
        <f t="shared" si="334"/>
        <v>5530</v>
      </c>
      <c r="AP182" s="554">
        <f t="shared" ref="AP182:AS182" si="335">SUM(AP177:AP181)</f>
        <v>3549</v>
      </c>
      <c r="AQ182" s="555">
        <f t="shared" si="335"/>
        <v>2223</v>
      </c>
      <c r="AR182" s="555">
        <f t="shared" si="335"/>
        <v>0</v>
      </c>
      <c r="AS182" s="476">
        <f t="shared" si="335"/>
        <v>0</v>
      </c>
      <c r="AT182" s="347"/>
      <c r="AU182" s="347"/>
      <c r="AV182" s="347"/>
      <c r="AW182" s="347"/>
      <c r="AX182" s="347"/>
      <c r="AY182" s="347"/>
      <c r="AZ182" s="347"/>
      <c r="BA182" s="347"/>
      <c r="BB182" s="347"/>
      <c r="BC182" s="347"/>
      <c r="BD182" s="347"/>
      <c r="BE182" s="347"/>
      <c r="BF182" s="347"/>
      <c r="BG182" s="347"/>
    </row>
    <row r="183" spans="1:59" s="208" customFormat="1" ht="15.75" thickTop="1" x14ac:dyDescent="0.25">
      <c r="A183" s="225"/>
      <c r="B183" s="250"/>
      <c r="C183" s="213"/>
      <c r="E183" s="227"/>
      <c r="F183" s="225"/>
      <c r="I183" s="227"/>
      <c r="J183" s="225"/>
      <c r="N183" s="225"/>
      <c r="R183" s="225"/>
      <c r="V183" s="225"/>
      <c r="Y183" s="227"/>
      <c r="Z183" s="225"/>
      <c r="AC183" s="227"/>
      <c r="AD183" s="225"/>
      <c r="AG183" s="227"/>
      <c r="AH183" s="225"/>
      <c r="AK183" s="227"/>
      <c r="AL183" s="225"/>
      <c r="AO183" s="227"/>
      <c r="AP183" s="225"/>
      <c r="AS183" s="227"/>
    </row>
    <row r="184" spans="1:59" ht="27" customHeight="1" x14ac:dyDescent="0.25">
      <c r="A184" s="225"/>
      <c r="B184" s="292" t="s">
        <v>134</v>
      </c>
      <c r="C184" s="213"/>
      <c r="D184" s="208"/>
      <c r="E184" s="224"/>
      <c r="F184" s="969" t="s">
        <v>111</v>
      </c>
      <c r="G184" s="970"/>
      <c r="H184" s="970"/>
      <c r="I184" s="971"/>
      <c r="J184" s="225"/>
      <c r="K184" s="214"/>
      <c r="L184" s="208"/>
      <c r="M184" s="208"/>
      <c r="N184" s="225"/>
      <c r="O184" s="208"/>
      <c r="P184" s="208"/>
      <c r="Q184" s="208"/>
      <c r="R184" s="225"/>
      <c r="S184" s="208"/>
      <c r="T184" s="208"/>
      <c r="U184" s="208"/>
      <c r="V184" s="225"/>
      <c r="W184" s="208"/>
      <c r="X184" s="208"/>
      <c r="Y184" s="227"/>
      <c r="Z184" s="225"/>
      <c r="AA184" s="208"/>
      <c r="AB184" s="208"/>
      <c r="AC184" s="227"/>
      <c r="AD184" s="225"/>
      <c r="AE184" s="208"/>
      <c r="AF184" s="208"/>
      <c r="AG184" s="227"/>
      <c r="AH184" s="225"/>
      <c r="AI184" s="208"/>
      <c r="AJ184" s="208"/>
      <c r="AK184" s="227"/>
      <c r="AL184" s="225"/>
      <c r="AM184" s="208"/>
      <c r="AN184" s="208"/>
      <c r="AO184" s="227"/>
      <c r="AP184" s="225"/>
      <c r="AQ184" s="208"/>
      <c r="AR184" s="208"/>
      <c r="AS184" s="227"/>
    </row>
    <row r="185" spans="1:59" s="208" customFormat="1" x14ac:dyDescent="0.25">
      <c r="A185" s="225"/>
      <c r="B185" s="227" t="s">
        <v>59</v>
      </c>
      <c r="C185" s="210"/>
      <c r="F185" s="225"/>
      <c r="G185" s="208">
        <v>233.6</v>
      </c>
      <c r="H185" s="208">
        <v>120.7</v>
      </c>
      <c r="I185" s="227">
        <v>110.6</v>
      </c>
      <c r="J185" s="288">
        <v>110.4</v>
      </c>
      <c r="K185" s="243">
        <v>116.3</v>
      </c>
      <c r="L185" s="243">
        <v>131.4</v>
      </c>
      <c r="M185" s="243">
        <v>119.9</v>
      </c>
      <c r="N185" s="288">
        <v>120.6</v>
      </c>
      <c r="O185" s="243">
        <v>130.19999999999999</v>
      </c>
      <c r="P185" s="243">
        <v>135.9</v>
      </c>
      <c r="Q185" s="243">
        <v>113.9</v>
      </c>
      <c r="R185" s="360">
        <v>144</v>
      </c>
      <c r="S185" s="359">
        <v>14</v>
      </c>
      <c r="T185" s="359">
        <v>107</v>
      </c>
      <c r="U185" s="359">
        <v>151</v>
      </c>
      <c r="V185" s="360">
        <v>146</v>
      </c>
      <c r="W185" s="359">
        <v>168</v>
      </c>
      <c r="X185" s="359">
        <v>168</v>
      </c>
      <c r="Y185" s="454">
        <v>148</v>
      </c>
      <c r="Z185" s="360">
        <v>142</v>
      </c>
      <c r="AA185" s="359">
        <v>173</v>
      </c>
      <c r="AB185" s="359">
        <v>194</v>
      </c>
      <c r="AC185" s="454">
        <v>178</v>
      </c>
      <c r="AD185" s="360">
        <v>168</v>
      </c>
      <c r="AE185" s="359">
        <v>190</v>
      </c>
      <c r="AF185" s="359">
        <v>149</v>
      </c>
      <c r="AG185" s="454">
        <v>163</v>
      </c>
      <c r="AH185" s="360">
        <v>145</v>
      </c>
      <c r="AI185" s="359">
        <v>171</v>
      </c>
      <c r="AJ185" s="359">
        <v>194</v>
      </c>
      <c r="AK185" s="454">
        <v>190</v>
      </c>
      <c r="AL185" s="360">
        <v>175</v>
      </c>
      <c r="AM185" s="359">
        <v>174</v>
      </c>
      <c r="AN185" s="359">
        <v>203</v>
      </c>
      <c r="AO185" s="454">
        <v>194</v>
      </c>
      <c r="AP185" s="360">
        <v>177</v>
      </c>
      <c r="AQ185" s="359">
        <v>210</v>
      </c>
      <c r="AR185" s="359"/>
      <c r="AS185" s="454"/>
    </row>
    <row r="186" spans="1:59" s="208" customFormat="1" x14ac:dyDescent="0.25">
      <c r="A186" s="225"/>
      <c r="B186" s="227" t="s">
        <v>61</v>
      </c>
      <c r="C186" s="210"/>
      <c r="E186" s="223">
        <v>148.69999999999999</v>
      </c>
      <c r="F186" s="225">
        <v>94.9</v>
      </c>
      <c r="G186" s="208">
        <f>105.5+1.7</f>
        <v>107.2</v>
      </c>
      <c r="H186" s="208">
        <v>37.799999999999997</v>
      </c>
      <c r="I186" s="227">
        <v>126.1</v>
      </c>
      <c r="J186" s="288">
        <v>46</v>
      </c>
      <c r="K186" s="243">
        <v>42.8</v>
      </c>
      <c r="L186" s="243">
        <v>68.400000000000006</v>
      </c>
      <c r="M186" s="243">
        <v>156.30000000000001</v>
      </c>
      <c r="N186" s="288">
        <v>27.3</v>
      </c>
      <c r="O186" s="243">
        <v>100.8</v>
      </c>
      <c r="P186" s="243">
        <v>91.9</v>
      </c>
      <c r="Q186" s="243">
        <v>96.3</v>
      </c>
      <c r="R186" s="360">
        <v>98</v>
      </c>
      <c r="S186" s="359">
        <v>40</v>
      </c>
      <c r="T186" s="359">
        <v>57</v>
      </c>
      <c r="U186" s="359">
        <v>131</v>
      </c>
      <c r="V186" s="360">
        <v>112</v>
      </c>
      <c r="W186" s="359">
        <v>121</v>
      </c>
      <c r="X186" s="359">
        <v>115</v>
      </c>
      <c r="Y186" s="454">
        <v>271</v>
      </c>
      <c r="Z186" s="360">
        <v>156</v>
      </c>
      <c r="AA186" s="359">
        <v>148</v>
      </c>
      <c r="AB186" s="359">
        <v>140</v>
      </c>
      <c r="AC186" s="454">
        <v>245</v>
      </c>
      <c r="AD186" s="360">
        <v>128</v>
      </c>
      <c r="AE186" s="359">
        <v>145</v>
      </c>
      <c r="AF186" s="359">
        <v>154</v>
      </c>
      <c r="AG186" s="454">
        <v>217</v>
      </c>
      <c r="AH186" s="360">
        <v>207</v>
      </c>
      <c r="AI186" s="359">
        <v>140</v>
      </c>
      <c r="AJ186" s="359">
        <v>206</v>
      </c>
      <c r="AK186" s="454">
        <v>350</v>
      </c>
      <c r="AL186" s="360">
        <v>261</v>
      </c>
      <c r="AM186" s="359">
        <v>288</v>
      </c>
      <c r="AN186" s="359">
        <v>367</v>
      </c>
      <c r="AO186" s="454">
        <v>563</v>
      </c>
      <c r="AP186" s="360">
        <v>252</v>
      </c>
      <c r="AQ186" s="359">
        <v>395</v>
      </c>
      <c r="AR186" s="359"/>
      <c r="AS186" s="454"/>
    </row>
    <row r="187" spans="1:59" s="208" customFormat="1" x14ac:dyDescent="0.25">
      <c r="A187" s="225"/>
      <c r="B187" s="227" t="s">
        <v>63</v>
      </c>
      <c r="C187" s="210"/>
      <c r="E187" s="208">
        <v>0</v>
      </c>
      <c r="F187" s="683">
        <v>0</v>
      </c>
      <c r="G187" s="684">
        <v>0</v>
      </c>
      <c r="H187" s="684">
        <v>0</v>
      </c>
      <c r="I187" s="685">
        <v>0</v>
      </c>
      <c r="J187" s="693">
        <v>0</v>
      </c>
      <c r="K187" s="681">
        <v>0.6</v>
      </c>
      <c r="L187" s="681">
        <v>0</v>
      </c>
      <c r="M187" s="681">
        <v>0</v>
      </c>
      <c r="N187" s="693">
        <v>0</v>
      </c>
      <c r="O187" s="681">
        <v>0</v>
      </c>
      <c r="P187" s="681">
        <v>0</v>
      </c>
      <c r="Q187" s="681">
        <v>1.8</v>
      </c>
      <c r="R187" s="693">
        <v>0</v>
      </c>
      <c r="S187" s="681">
        <v>0</v>
      </c>
      <c r="T187" s="681">
        <v>0</v>
      </c>
      <c r="U187" s="681">
        <v>0</v>
      </c>
      <c r="V187" s="693">
        <v>0</v>
      </c>
      <c r="W187" s="681">
        <v>0</v>
      </c>
      <c r="X187" s="681">
        <v>0</v>
      </c>
      <c r="Y187" s="682">
        <v>0</v>
      </c>
      <c r="Z187" s="693">
        <v>0</v>
      </c>
      <c r="AA187" s="681">
        <v>0</v>
      </c>
      <c r="AB187" s="681">
        <v>1</v>
      </c>
      <c r="AC187" s="682">
        <v>-1</v>
      </c>
      <c r="AD187" s="693">
        <v>0</v>
      </c>
      <c r="AE187" s="681">
        <v>0</v>
      </c>
      <c r="AF187" s="681">
        <v>0</v>
      </c>
      <c r="AG187" s="682">
        <v>0</v>
      </c>
      <c r="AH187" s="693">
        <v>0</v>
      </c>
      <c r="AI187" s="681">
        <v>79</v>
      </c>
      <c r="AJ187" s="681">
        <v>0</v>
      </c>
      <c r="AK187" s="259">
        <v>21</v>
      </c>
      <c r="AL187" s="360">
        <v>3</v>
      </c>
      <c r="AM187" s="359">
        <v>20</v>
      </c>
      <c r="AN187" s="359">
        <v>15</v>
      </c>
      <c r="AO187" s="259">
        <v>19</v>
      </c>
      <c r="AP187" s="360">
        <v>25</v>
      </c>
      <c r="AQ187" s="359">
        <v>78</v>
      </c>
      <c r="AR187" s="359"/>
      <c r="AS187" s="259"/>
    </row>
    <row r="188" spans="1:59" s="1" customFormat="1" x14ac:dyDescent="0.25">
      <c r="A188" s="306"/>
      <c r="B188" s="290" t="s">
        <v>64</v>
      </c>
      <c r="C188" s="446"/>
      <c r="D188" s="447"/>
      <c r="E188" s="153">
        <f t="shared" ref="E188:M188" si="336">+E187+E186+E185</f>
        <v>148.69999999999999</v>
      </c>
      <c r="F188" s="152">
        <f t="shared" si="336"/>
        <v>94.9</v>
      </c>
      <c r="G188" s="153">
        <f t="shared" si="336"/>
        <v>340.8</v>
      </c>
      <c r="H188" s="153">
        <f t="shared" si="336"/>
        <v>158.5</v>
      </c>
      <c r="I188" s="154">
        <f t="shared" si="336"/>
        <v>236.7</v>
      </c>
      <c r="J188" s="152">
        <f>+J187+J186+J185-0.1</f>
        <v>156.30000000000001</v>
      </c>
      <c r="K188" s="153">
        <f t="shared" si="336"/>
        <v>159.69999999999999</v>
      </c>
      <c r="L188" s="153">
        <f>+L187+L186+L185-0.11</f>
        <v>199.69</v>
      </c>
      <c r="M188" s="153">
        <f t="shared" si="336"/>
        <v>276.20000000000005</v>
      </c>
      <c r="N188" s="152">
        <f t="shared" ref="N188:S188" si="337">+N187+N186+N185</f>
        <v>147.9</v>
      </c>
      <c r="O188" s="153">
        <f t="shared" si="337"/>
        <v>231</v>
      </c>
      <c r="P188" s="153">
        <f t="shared" si="337"/>
        <v>227.8</v>
      </c>
      <c r="Q188" s="153">
        <f t="shared" si="337"/>
        <v>212</v>
      </c>
      <c r="R188" s="429">
        <f t="shared" si="337"/>
        <v>242</v>
      </c>
      <c r="S188" s="430">
        <f t="shared" si="337"/>
        <v>54</v>
      </c>
      <c r="T188" s="430">
        <f t="shared" ref="T188:U188" si="338">+T187+T186+T185</f>
        <v>164</v>
      </c>
      <c r="U188" s="430">
        <f t="shared" si="338"/>
        <v>282</v>
      </c>
      <c r="V188" s="429">
        <f t="shared" ref="V188:W188" si="339">+V187+V186+V185</f>
        <v>258</v>
      </c>
      <c r="W188" s="430">
        <f t="shared" si="339"/>
        <v>289</v>
      </c>
      <c r="X188" s="430">
        <f t="shared" ref="X188:AA188" si="340">+X187+X186+X185</f>
        <v>283</v>
      </c>
      <c r="Y188" s="472">
        <f t="shared" si="340"/>
        <v>419</v>
      </c>
      <c r="Z188" s="429">
        <f t="shared" si="340"/>
        <v>298</v>
      </c>
      <c r="AA188" s="430">
        <f t="shared" si="340"/>
        <v>321</v>
      </c>
      <c r="AB188" s="430">
        <f t="shared" ref="AB188:AE188" si="341">+AB187+AB186+AB185</f>
        <v>335</v>
      </c>
      <c r="AC188" s="472">
        <f t="shared" si="341"/>
        <v>422</v>
      </c>
      <c r="AD188" s="429">
        <f t="shared" si="341"/>
        <v>296</v>
      </c>
      <c r="AE188" s="430">
        <f t="shared" si="341"/>
        <v>335</v>
      </c>
      <c r="AF188" s="430">
        <f t="shared" ref="AF188:AI188" si="342">+AF187+AF186+AF185</f>
        <v>303</v>
      </c>
      <c r="AG188" s="472">
        <f t="shared" si="342"/>
        <v>380</v>
      </c>
      <c r="AH188" s="429">
        <f t="shared" si="342"/>
        <v>352</v>
      </c>
      <c r="AI188" s="430">
        <f t="shared" si="342"/>
        <v>390</v>
      </c>
      <c r="AJ188" s="430">
        <f t="shared" ref="AJ188:AO188" si="343">+AJ187+AJ186+AJ185</f>
        <v>400</v>
      </c>
      <c r="AK188" s="472">
        <f t="shared" si="343"/>
        <v>561</v>
      </c>
      <c r="AL188" s="429">
        <f t="shared" si="343"/>
        <v>439</v>
      </c>
      <c r="AM188" s="430">
        <f t="shared" si="343"/>
        <v>482</v>
      </c>
      <c r="AN188" s="430">
        <f t="shared" si="343"/>
        <v>585</v>
      </c>
      <c r="AO188" s="472">
        <f t="shared" si="343"/>
        <v>776</v>
      </c>
      <c r="AP188" s="429">
        <f t="shared" ref="AP188:AS188" si="344">+AP187+AP186+AP185</f>
        <v>454</v>
      </c>
      <c r="AQ188" s="430">
        <f t="shared" si="344"/>
        <v>683</v>
      </c>
      <c r="AR188" s="430">
        <f t="shared" si="344"/>
        <v>0</v>
      </c>
      <c r="AS188" s="472">
        <f t="shared" si="344"/>
        <v>0</v>
      </c>
      <c r="AT188" s="347"/>
      <c r="AU188" s="347"/>
      <c r="AV188" s="347"/>
      <c r="AW188" s="347"/>
      <c r="AX188" s="347"/>
      <c r="AY188" s="347"/>
      <c r="AZ188" s="347"/>
      <c r="BA188" s="347"/>
      <c r="BB188" s="347"/>
      <c r="BC188" s="347"/>
      <c r="BD188" s="347"/>
      <c r="BE188" s="347"/>
      <c r="BF188" s="347"/>
      <c r="BG188" s="347"/>
    </row>
    <row r="189" spans="1:59" s="208" customFormat="1" x14ac:dyDescent="0.25">
      <c r="A189" s="225"/>
      <c r="B189" s="250"/>
      <c r="C189" s="210"/>
      <c r="F189" s="225"/>
      <c r="I189" s="227"/>
      <c r="J189" s="225"/>
      <c r="N189" s="225"/>
      <c r="R189" s="225"/>
      <c r="V189" s="225"/>
      <c r="Y189" s="227"/>
      <c r="Z189" s="225"/>
      <c r="AC189" s="227"/>
      <c r="AD189" s="225"/>
      <c r="AG189" s="227"/>
      <c r="AH189" s="225"/>
      <c r="AK189" s="227"/>
      <c r="AL189" s="225"/>
      <c r="AO189" s="227"/>
      <c r="AP189" s="225"/>
      <c r="AS189" s="227"/>
    </row>
    <row r="190" spans="1:59" s="208" customFormat="1" ht="15.75" x14ac:dyDescent="0.25">
      <c r="A190" s="225"/>
      <c r="B190" s="328"/>
      <c r="C190" s="213"/>
      <c r="F190" s="225"/>
      <c r="I190" s="227"/>
      <c r="J190" s="225"/>
      <c r="N190" s="225"/>
      <c r="R190" s="225"/>
      <c r="V190" s="225"/>
      <c r="Y190" s="227"/>
      <c r="Z190" s="225"/>
      <c r="AC190" s="227"/>
      <c r="AD190" s="225"/>
      <c r="AG190" s="227"/>
      <c r="AH190" s="225"/>
      <c r="AK190" s="227"/>
      <c r="AL190" s="225"/>
      <c r="AO190" s="227"/>
      <c r="AP190" s="225"/>
      <c r="AS190" s="227"/>
    </row>
    <row r="191" spans="1:59" s="208" customFormat="1" x14ac:dyDescent="0.25">
      <c r="A191" s="225"/>
      <c r="B191" s="292" t="s">
        <v>71</v>
      </c>
      <c r="C191" s="213"/>
      <c r="F191" s="225"/>
      <c r="I191" s="227"/>
      <c r="J191" s="225"/>
      <c r="N191" s="225"/>
      <c r="R191" s="225"/>
      <c r="V191" s="225"/>
      <c r="Y191" s="227"/>
      <c r="Z191" s="225"/>
      <c r="AC191" s="227"/>
      <c r="AD191" s="225"/>
      <c r="AG191" s="227"/>
      <c r="AH191" s="225"/>
      <c r="AK191" s="227"/>
      <c r="AL191" s="225"/>
      <c r="AO191" s="227"/>
      <c r="AP191" s="225"/>
      <c r="AS191" s="227"/>
    </row>
    <row r="192" spans="1:59" s="208" customFormat="1" x14ac:dyDescent="0.25">
      <c r="A192" s="225"/>
      <c r="B192" s="227" t="s">
        <v>101</v>
      </c>
      <c r="C192" s="213"/>
      <c r="E192" s="253">
        <v>11922</v>
      </c>
      <c r="F192" s="226">
        <v>12147</v>
      </c>
      <c r="G192" s="253">
        <v>11858</v>
      </c>
      <c r="H192" s="253">
        <v>12558</v>
      </c>
      <c r="I192" s="352">
        <v>13564</v>
      </c>
      <c r="J192" s="211">
        <v>12803</v>
      </c>
      <c r="K192" s="242">
        <v>12859</v>
      </c>
      <c r="L192" s="253">
        <v>13926</v>
      </c>
      <c r="M192" s="242">
        <v>15283</v>
      </c>
      <c r="N192" s="211">
        <v>16582</v>
      </c>
      <c r="O192" s="242">
        <v>17144</v>
      </c>
      <c r="P192" s="242">
        <v>20122</v>
      </c>
      <c r="Q192" s="242">
        <v>23389</v>
      </c>
      <c r="R192" s="211">
        <v>32958</v>
      </c>
      <c r="S192" s="242">
        <v>31174</v>
      </c>
      <c r="T192" s="242">
        <v>37250</v>
      </c>
      <c r="U192" s="242">
        <v>39817</v>
      </c>
      <c r="V192" s="211">
        <v>50940</v>
      </c>
      <c r="W192" s="242">
        <v>52858</v>
      </c>
      <c r="X192" s="242">
        <v>41603</v>
      </c>
      <c r="Y192" s="407">
        <v>37877</v>
      </c>
      <c r="Z192" s="211">
        <v>44909</v>
      </c>
      <c r="AA192" s="242">
        <v>40848</v>
      </c>
      <c r="AB192" s="242">
        <v>42355</v>
      </c>
      <c r="AC192" s="407">
        <v>41222</v>
      </c>
      <c r="AD192" s="211">
        <v>35881</v>
      </c>
      <c r="AE192" s="242">
        <v>31679</v>
      </c>
      <c r="AF192" s="242">
        <v>24456</v>
      </c>
      <c r="AG192" s="407">
        <v>24080</v>
      </c>
      <c r="AH192" s="211">
        <v>23919</v>
      </c>
      <c r="AI192" s="242">
        <v>24880</v>
      </c>
      <c r="AJ192" s="242">
        <v>23803</v>
      </c>
      <c r="AK192" s="407">
        <v>23860</v>
      </c>
      <c r="AL192" s="211">
        <v>25289</v>
      </c>
      <c r="AM192" s="242">
        <v>27339</v>
      </c>
      <c r="AN192" s="242">
        <v>32591</v>
      </c>
      <c r="AO192" s="407">
        <v>37962</v>
      </c>
      <c r="AP192" s="211">
        <v>47017</v>
      </c>
      <c r="AQ192" s="242">
        <v>41093</v>
      </c>
      <c r="AR192" s="242"/>
      <c r="AS192" s="407"/>
    </row>
    <row r="193" spans="1:45" s="208" customFormat="1" x14ac:dyDescent="0.25">
      <c r="A193" s="225"/>
      <c r="B193" s="227" t="s">
        <v>102</v>
      </c>
      <c r="C193" s="213"/>
      <c r="E193" s="253">
        <v>859</v>
      </c>
      <c r="F193" s="226">
        <v>920</v>
      </c>
      <c r="G193" s="253">
        <v>898</v>
      </c>
      <c r="H193" s="253">
        <v>953</v>
      </c>
      <c r="I193" s="352">
        <v>995</v>
      </c>
      <c r="J193" s="211">
        <v>1070</v>
      </c>
      <c r="K193" s="242">
        <v>1016</v>
      </c>
      <c r="L193" s="253">
        <v>991</v>
      </c>
      <c r="M193" s="242">
        <f t="shared" ref="M193:R193" si="345">M192/M202</f>
        <v>1067.9944095038434</v>
      </c>
      <c r="N193" s="211">
        <f t="shared" si="345"/>
        <v>1183.5831548893648</v>
      </c>
      <c r="O193" s="242">
        <f t="shared" si="345"/>
        <v>1191.3829047949964</v>
      </c>
      <c r="P193" s="242">
        <f t="shared" si="345"/>
        <v>1371.6428084526244</v>
      </c>
      <c r="Q193" s="242">
        <f t="shared" si="345"/>
        <v>1588.9266304347825</v>
      </c>
      <c r="R193" s="211">
        <f t="shared" si="345"/>
        <v>2142.9128738621584</v>
      </c>
      <c r="S193" s="242">
        <f t="shared" ref="S193:T193" si="346">S192/S202</f>
        <v>1736.7130919220056</v>
      </c>
      <c r="T193" s="242">
        <f t="shared" si="346"/>
        <v>2202.8385570668243</v>
      </c>
      <c r="U193" s="242">
        <f t="shared" ref="U193:W193" si="347">U192/U202</f>
        <v>2550.7367072389493</v>
      </c>
      <c r="V193" s="211">
        <f t="shared" si="347"/>
        <v>3405.0802139037432</v>
      </c>
      <c r="W193" s="242">
        <f t="shared" si="347"/>
        <v>3740.8351026185419</v>
      </c>
      <c r="X193" s="242">
        <f t="shared" ref="X193:AA193" si="348">X192/X202</f>
        <v>2843.6773752563226</v>
      </c>
      <c r="Y193" s="407">
        <f t="shared" si="348"/>
        <v>2456.3553826199741</v>
      </c>
      <c r="Z193" s="211">
        <f t="shared" si="348"/>
        <v>2950.6570302233899</v>
      </c>
      <c r="AA193" s="242">
        <f t="shared" si="348"/>
        <v>2620.1411161000642</v>
      </c>
      <c r="AB193" s="242">
        <f t="shared" ref="AB193:AE193" si="349">AB192/AB202</f>
        <v>2484.1642228739001</v>
      </c>
      <c r="AC193" s="407">
        <f t="shared" si="349"/>
        <v>2340.8290743895514</v>
      </c>
      <c r="AD193" s="211">
        <f t="shared" si="349"/>
        <v>2020.3265765765764</v>
      </c>
      <c r="AE193" s="242">
        <f t="shared" si="349"/>
        <v>1697.695605573419</v>
      </c>
      <c r="AF193" s="242">
        <f t="shared" ref="AF193:AI193" si="350">AF192/AF202</f>
        <v>1315.5459924690695</v>
      </c>
      <c r="AG193" s="407">
        <f t="shared" si="350"/>
        <v>1291.152815013405</v>
      </c>
      <c r="AH193" s="211">
        <f t="shared" si="350"/>
        <v>1268.2396606574762</v>
      </c>
      <c r="AI193" s="242">
        <f t="shared" si="350"/>
        <v>1339.7953688745288</v>
      </c>
      <c r="AJ193" s="242">
        <f t="shared" ref="AJ193:AO193" si="351">AJ192/AJ202</f>
        <v>1325.3340757238307</v>
      </c>
      <c r="AK193" s="407">
        <f t="shared" si="351"/>
        <v>1334.4519015659955</v>
      </c>
      <c r="AL193" s="211">
        <f t="shared" si="351"/>
        <v>1368.452380952381</v>
      </c>
      <c r="AM193" s="242">
        <f t="shared" si="351"/>
        <v>1494.7512301804265</v>
      </c>
      <c r="AN193" s="242">
        <f t="shared" si="351"/>
        <v>1847.5623582766439</v>
      </c>
      <c r="AO193" s="407">
        <f t="shared" si="351"/>
        <v>2218.7025131502046</v>
      </c>
      <c r="AP193" s="211">
        <f t="shared" ref="AP193:AS193" si="352">AP192/AP202</f>
        <v>2877.4173806609547</v>
      </c>
      <c r="AQ193" s="242">
        <f t="shared" si="352"/>
        <v>2493.5072815533981</v>
      </c>
      <c r="AR193" s="242" t="e">
        <f t="shared" si="352"/>
        <v>#DIV/0!</v>
      </c>
      <c r="AS193" s="407" t="e">
        <f t="shared" si="352"/>
        <v>#DIV/0!</v>
      </c>
    </row>
    <row r="194" spans="1:45" s="208" customFormat="1" x14ac:dyDescent="0.25">
      <c r="A194" s="225"/>
      <c r="B194" s="227" t="s">
        <v>107</v>
      </c>
      <c r="C194" s="213"/>
      <c r="E194" s="253">
        <v>11485</v>
      </c>
      <c r="F194" s="226">
        <f t="shared" ref="F194:L194" si="353">-+F176/F167*1000000</f>
        <v>11430.055983739756</v>
      </c>
      <c r="G194" s="253">
        <f t="shared" si="353"/>
        <v>9631.4919836768913</v>
      </c>
      <c r="H194" s="253">
        <f t="shared" si="353"/>
        <v>11499.377551315827</v>
      </c>
      <c r="I194" s="352">
        <f t="shared" si="353"/>
        <v>12330.836276050704</v>
      </c>
      <c r="J194" s="211">
        <f t="shared" si="353"/>
        <v>10691.897861722689</v>
      </c>
      <c r="K194" s="242">
        <f t="shared" si="353"/>
        <v>12589.34470538771</v>
      </c>
      <c r="L194" s="253">
        <f t="shared" si="353"/>
        <v>12170.251474515097</v>
      </c>
      <c r="M194" s="253">
        <v>11881</v>
      </c>
      <c r="N194" s="226">
        <v>12882</v>
      </c>
      <c r="O194" s="253">
        <v>15123</v>
      </c>
      <c r="P194" s="253">
        <v>15416</v>
      </c>
      <c r="Q194" s="253">
        <v>14454</v>
      </c>
      <c r="R194" s="226">
        <v>15701</v>
      </c>
      <c r="S194" s="253">
        <v>24248</v>
      </c>
      <c r="T194" s="253">
        <v>17256</v>
      </c>
      <c r="U194" s="253">
        <v>15980</v>
      </c>
      <c r="V194" s="226">
        <v>16541</v>
      </c>
      <c r="W194" s="253">
        <v>16498</v>
      </c>
      <c r="X194" s="253">
        <v>17173</v>
      </c>
      <c r="Y194" s="352">
        <v>18425</v>
      </c>
      <c r="Z194" s="226">
        <v>18820</v>
      </c>
      <c r="AA194" s="242">
        <v>20387</v>
      </c>
      <c r="AB194" s="253">
        <v>18586</v>
      </c>
      <c r="AC194" s="352">
        <v>22927</v>
      </c>
      <c r="AD194" s="226">
        <v>20768</v>
      </c>
      <c r="AE194" s="242">
        <v>21187</v>
      </c>
      <c r="AF194" s="253">
        <v>21080</v>
      </c>
      <c r="AG194" s="352">
        <v>21714</v>
      </c>
      <c r="AH194" s="226">
        <v>25281</v>
      </c>
      <c r="AI194" s="242">
        <v>22154</v>
      </c>
      <c r="AJ194" s="253">
        <v>24072</v>
      </c>
      <c r="AK194" s="352">
        <v>25167</v>
      </c>
      <c r="AL194" s="211">
        <v>26379</v>
      </c>
      <c r="AM194" s="242">
        <v>25350</v>
      </c>
      <c r="AN194" s="253">
        <v>23972</v>
      </c>
      <c r="AO194" s="352">
        <v>26238</v>
      </c>
      <c r="AP194" s="211">
        <v>27233</v>
      </c>
      <c r="AQ194" s="242">
        <v>28929</v>
      </c>
      <c r="AR194" s="253"/>
      <c r="AS194" s="352"/>
    </row>
    <row r="195" spans="1:45" s="208" customFormat="1" x14ac:dyDescent="0.25">
      <c r="A195" s="225"/>
      <c r="B195" s="227" t="s">
        <v>108</v>
      </c>
      <c r="C195" s="213"/>
      <c r="E195" s="253">
        <v>827</v>
      </c>
      <c r="F195" s="226">
        <v>865</v>
      </c>
      <c r="G195" s="253">
        <v>730</v>
      </c>
      <c r="H195" s="253">
        <v>873</v>
      </c>
      <c r="I195" s="352">
        <v>883</v>
      </c>
      <c r="J195" s="211">
        <v>894</v>
      </c>
      <c r="K195" s="242">
        <v>995</v>
      </c>
      <c r="L195" s="253">
        <v>866</v>
      </c>
      <c r="M195" s="242">
        <f>M194/M202</f>
        <v>830.25856044723969</v>
      </c>
      <c r="N195" s="211">
        <v>920</v>
      </c>
      <c r="O195" s="242">
        <f t="shared" ref="O195:T195" si="354">O194/O202</f>
        <v>1050.9381514940931</v>
      </c>
      <c r="P195" s="242">
        <f t="shared" si="354"/>
        <v>1050.8520790729381</v>
      </c>
      <c r="Q195" s="242">
        <f t="shared" si="354"/>
        <v>981.92934782608688</v>
      </c>
      <c r="R195" s="211">
        <f t="shared" si="354"/>
        <v>1020.8712613784135</v>
      </c>
      <c r="S195" s="242">
        <f t="shared" si="354"/>
        <v>1350.8635097493036</v>
      </c>
      <c r="T195" s="242">
        <f t="shared" si="354"/>
        <v>1020.461265523359</v>
      </c>
      <c r="U195" s="242">
        <f t="shared" ref="U195:W195" si="355">U194/U202</f>
        <v>1023.7027546444588</v>
      </c>
      <c r="V195" s="211">
        <f t="shared" si="355"/>
        <v>1105.681818181818</v>
      </c>
      <c r="W195" s="242">
        <f t="shared" si="355"/>
        <v>1167.5866949752299</v>
      </c>
      <c r="X195" s="242">
        <f t="shared" ref="X195:AA195" si="356">X194/X202</f>
        <v>1173.8209159261789</v>
      </c>
      <c r="Y195" s="407">
        <f t="shared" si="356"/>
        <v>1194.8767833981842</v>
      </c>
      <c r="Z195" s="211">
        <f t="shared" si="356"/>
        <v>1236.5308804204992</v>
      </c>
      <c r="AA195" s="242">
        <f t="shared" si="356"/>
        <v>1307.6972418216806</v>
      </c>
      <c r="AB195" s="242">
        <f t="shared" ref="AB195:AE195" si="357">AB194/AB202</f>
        <v>1090.0879765395894</v>
      </c>
      <c r="AC195" s="407">
        <f t="shared" si="357"/>
        <v>1301.9307211811472</v>
      </c>
      <c r="AD195" s="211">
        <f t="shared" si="357"/>
        <v>1169.3693693693692</v>
      </c>
      <c r="AE195" s="242">
        <f t="shared" si="357"/>
        <v>1135.4233654876741</v>
      </c>
      <c r="AF195" s="242">
        <f t="shared" ref="AF195" si="358">AF194/AF202</f>
        <v>1133.9429800968262</v>
      </c>
      <c r="AG195" s="407">
        <v>1164</v>
      </c>
      <c r="AH195" s="211">
        <f t="shared" ref="AH195:AK195" si="359">AH194/AH202</f>
        <v>1340.4559915164371</v>
      </c>
      <c r="AI195" s="242">
        <f t="shared" si="359"/>
        <v>1192.9994614970383</v>
      </c>
      <c r="AJ195" s="242">
        <f t="shared" si="359"/>
        <v>1340.3118040089087</v>
      </c>
      <c r="AK195" s="407">
        <f t="shared" si="359"/>
        <v>1407.5503355704698</v>
      </c>
      <c r="AL195" s="211">
        <f t="shared" ref="AL195:AO195" si="360">AL194/AL202</f>
        <v>1427.4350649350649</v>
      </c>
      <c r="AM195" s="242">
        <f t="shared" si="360"/>
        <v>1386.0032804811374</v>
      </c>
      <c r="AN195" s="242">
        <f t="shared" si="360"/>
        <v>1358.9569160997733</v>
      </c>
      <c r="AO195" s="407">
        <f t="shared" si="360"/>
        <v>1533.4891876095851</v>
      </c>
      <c r="AP195" s="211">
        <f t="shared" ref="AP195:AS195" si="361">AP194/AP202</f>
        <v>1666.6462668298655</v>
      </c>
      <c r="AQ195" s="242">
        <f t="shared" si="361"/>
        <v>1755.4004854368932</v>
      </c>
      <c r="AR195" s="242" t="e">
        <f t="shared" si="361"/>
        <v>#DIV/0!</v>
      </c>
      <c r="AS195" s="407" t="e">
        <f t="shared" si="361"/>
        <v>#DIV/0!</v>
      </c>
    </row>
    <row r="196" spans="1:45" s="208" customFormat="1" ht="15" hidden="1" customHeight="1" x14ac:dyDescent="0.25">
      <c r="A196" s="225"/>
      <c r="B196" s="227" t="s">
        <v>109</v>
      </c>
      <c r="C196" s="225"/>
      <c r="E196" s="253"/>
      <c r="F196" s="226">
        <v>11371</v>
      </c>
      <c r="G196" s="253">
        <v>9604</v>
      </c>
      <c r="H196" s="253">
        <v>11461</v>
      </c>
      <c r="I196" s="218" t="s">
        <v>77</v>
      </c>
      <c r="J196" s="219" t="s">
        <v>77</v>
      </c>
      <c r="K196" s="219" t="s">
        <v>77</v>
      </c>
      <c r="L196" s="219" t="s">
        <v>77</v>
      </c>
      <c r="M196" s="219" t="s">
        <v>77</v>
      </c>
      <c r="N196" s="220" t="s">
        <v>77</v>
      </c>
      <c r="O196" s="219" t="s">
        <v>77</v>
      </c>
      <c r="P196" s="219" t="s">
        <v>77</v>
      </c>
      <c r="Q196" s="219" t="s">
        <v>77</v>
      </c>
      <c r="R196" s="220" t="s">
        <v>77</v>
      </c>
      <c r="S196" s="219" t="s">
        <v>77</v>
      </c>
      <c r="T196" s="219" t="s">
        <v>77</v>
      </c>
      <c r="U196" s="219" t="s">
        <v>77</v>
      </c>
      <c r="V196" s="220" t="s">
        <v>77</v>
      </c>
      <c r="W196" s="219" t="s">
        <v>77</v>
      </c>
      <c r="X196" s="219" t="s">
        <v>77</v>
      </c>
      <c r="Y196" s="218" t="s">
        <v>77</v>
      </c>
      <c r="Z196" s="220" t="s">
        <v>77</v>
      </c>
      <c r="AA196" s="219" t="s">
        <v>77</v>
      </c>
      <c r="AB196" s="219" t="s">
        <v>77</v>
      </c>
      <c r="AC196" s="218" t="s">
        <v>77</v>
      </c>
      <c r="AD196" s="220" t="s">
        <v>77</v>
      </c>
      <c r="AE196" s="219" t="s">
        <v>77</v>
      </c>
      <c r="AF196" s="219" t="s">
        <v>77</v>
      </c>
      <c r="AG196" s="218" t="s">
        <v>77</v>
      </c>
      <c r="AH196" s="220" t="s">
        <v>77</v>
      </c>
      <c r="AI196" s="219" t="s">
        <v>77</v>
      </c>
      <c r="AJ196" s="219" t="s">
        <v>77</v>
      </c>
      <c r="AK196" s="218" t="s">
        <v>77</v>
      </c>
      <c r="AL196" s="220" t="s">
        <v>77</v>
      </c>
      <c r="AM196" s="219"/>
      <c r="AN196" s="219"/>
      <c r="AO196" s="218"/>
      <c r="AP196" s="220" t="s">
        <v>77</v>
      </c>
      <c r="AQ196" s="219"/>
      <c r="AR196" s="219"/>
      <c r="AS196" s="218"/>
    </row>
    <row r="197" spans="1:45" s="208" customFormat="1" ht="15" hidden="1" customHeight="1" x14ac:dyDescent="0.25">
      <c r="A197" s="225"/>
      <c r="B197" s="227" t="s">
        <v>110</v>
      </c>
      <c r="C197" s="225"/>
      <c r="E197" s="253"/>
      <c r="F197" s="226">
        <v>861</v>
      </c>
      <c r="G197" s="253">
        <v>728</v>
      </c>
      <c r="H197" s="253">
        <v>869</v>
      </c>
      <c r="I197" s="218" t="s">
        <v>77</v>
      </c>
      <c r="J197" s="219" t="s">
        <v>77</v>
      </c>
      <c r="K197" s="219" t="s">
        <v>77</v>
      </c>
      <c r="L197" s="219" t="s">
        <v>77</v>
      </c>
      <c r="M197" s="219" t="s">
        <v>77</v>
      </c>
      <c r="N197" s="220" t="s">
        <v>77</v>
      </c>
      <c r="O197" s="219" t="s">
        <v>77</v>
      </c>
      <c r="P197" s="219" t="s">
        <v>77</v>
      </c>
      <c r="Q197" s="219" t="s">
        <v>77</v>
      </c>
      <c r="R197" s="220" t="s">
        <v>77</v>
      </c>
      <c r="S197" s="219" t="s">
        <v>77</v>
      </c>
      <c r="T197" s="219" t="s">
        <v>77</v>
      </c>
      <c r="U197" s="219" t="s">
        <v>77</v>
      </c>
      <c r="V197" s="220" t="s">
        <v>77</v>
      </c>
      <c r="W197" s="219" t="s">
        <v>77</v>
      </c>
      <c r="X197" s="219" t="s">
        <v>77</v>
      </c>
      <c r="Y197" s="218" t="s">
        <v>77</v>
      </c>
      <c r="Z197" s="220" t="s">
        <v>77</v>
      </c>
      <c r="AA197" s="219" t="s">
        <v>77</v>
      </c>
      <c r="AB197" s="219" t="s">
        <v>77</v>
      </c>
      <c r="AC197" s="218" t="s">
        <v>77</v>
      </c>
      <c r="AD197" s="220" t="s">
        <v>77</v>
      </c>
      <c r="AE197" s="219" t="s">
        <v>77</v>
      </c>
      <c r="AF197" s="219" t="s">
        <v>77</v>
      </c>
      <c r="AG197" s="218" t="s">
        <v>77</v>
      </c>
      <c r="AH197" s="220" t="s">
        <v>77</v>
      </c>
      <c r="AI197" s="219" t="s">
        <v>77</v>
      </c>
      <c r="AJ197" s="219" t="s">
        <v>77</v>
      </c>
      <c r="AK197" s="218" t="s">
        <v>77</v>
      </c>
      <c r="AL197" s="220" t="s">
        <v>77</v>
      </c>
      <c r="AM197" s="219"/>
      <c r="AN197" s="219"/>
      <c r="AO197" s="218"/>
      <c r="AP197" s="220" t="s">
        <v>77</v>
      </c>
      <c r="AQ197" s="219"/>
      <c r="AR197" s="219"/>
      <c r="AS197" s="218"/>
    </row>
    <row r="198" spans="1:45" s="208" customFormat="1" x14ac:dyDescent="0.25">
      <c r="A198" s="225"/>
      <c r="B198" s="227" t="s">
        <v>128</v>
      </c>
      <c r="C198" s="225"/>
      <c r="E198" s="253"/>
      <c r="F198" s="226">
        <v>10714</v>
      </c>
      <c r="G198" s="253">
        <v>10219</v>
      </c>
      <c r="H198" s="253">
        <v>10317</v>
      </c>
      <c r="I198" s="352">
        <v>10737</v>
      </c>
      <c r="J198" s="211">
        <v>9990</v>
      </c>
      <c r="K198" s="242">
        <v>10252</v>
      </c>
      <c r="L198" s="253">
        <v>11114</v>
      </c>
      <c r="M198" s="242">
        <v>11170</v>
      </c>
      <c r="N198" s="211">
        <v>12211</v>
      </c>
      <c r="O198" s="242">
        <v>15091</v>
      </c>
      <c r="P198" s="242">
        <v>15844</v>
      </c>
      <c r="Q198" s="242">
        <v>14499</v>
      </c>
      <c r="R198" s="211">
        <v>18255</v>
      </c>
      <c r="S198" s="242">
        <v>22766</v>
      </c>
      <c r="T198" s="242">
        <v>18864</v>
      </c>
      <c r="U198" s="242">
        <v>17153</v>
      </c>
      <c r="V198" s="211">
        <v>19002</v>
      </c>
      <c r="W198" s="242">
        <v>17209</v>
      </c>
      <c r="X198" s="242">
        <v>17701</v>
      </c>
      <c r="Y198" s="407">
        <v>20148</v>
      </c>
      <c r="Z198" s="211">
        <v>20041</v>
      </c>
      <c r="AA198" s="242">
        <v>18129</v>
      </c>
      <c r="AB198" s="242">
        <v>18435</v>
      </c>
      <c r="AC198" s="407">
        <v>23543</v>
      </c>
      <c r="AD198" s="211">
        <v>18558</v>
      </c>
      <c r="AE198" s="242">
        <v>18121</v>
      </c>
      <c r="AF198" s="242">
        <v>18701</v>
      </c>
      <c r="AG198" s="407">
        <v>17403</v>
      </c>
      <c r="AH198" s="211">
        <v>21284</v>
      </c>
      <c r="AI198" s="242">
        <v>18367</v>
      </c>
      <c r="AJ198" s="242">
        <v>21570</v>
      </c>
      <c r="AK198" s="407">
        <v>24194</v>
      </c>
      <c r="AL198" s="211">
        <v>25131</v>
      </c>
      <c r="AM198" s="242">
        <v>23568</v>
      </c>
      <c r="AN198" s="242">
        <v>23241</v>
      </c>
      <c r="AO198" s="407">
        <v>25021</v>
      </c>
      <c r="AP198" s="211">
        <v>24839</v>
      </c>
      <c r="AQ198" s="242">
        <v>28045</v>
      </c>
      <c r="AR198" s="242"/>
      <c r="AS198" s="407"/>
    </row>
    <row r="199" spans="1:45" s="208" customFormat="1" x14ac:dyDescent="0.25">
      <c r="A199" s="225"/>
      <c r="B199" s="227" t="s">
        <v>129</v>
      </c>
      <c r="C199" s="225"/>
      <c r="E199" s="253"/>
      <c r="F199" s="226">
        <v>811</v>
      </c>
      <c r="G199" s="253">
        <v>774</v>
      </c>
      <c r="H199" s="253">
        <v>782</v>
      </c>
      <c r="I199" s="352">
        <v>788</v>
      </c>
      <c r="J199" s="211">
        <v>835</v>
      </c>
      <c r="K199" s="242">
        <v>810</v>
      </c>
      <c r="L199" s="253">
        <v>791</v>
      </c>
      <c r="M199" s="242">
        <f t="shared" ref="M199:R199" si="362">M198/M202</f>
        <v>780.57302585604475</v>
      </c>
      <c r="N199" s="211">
        <f t="shared" si="362"/>
        <v>871.59172019985726</v>
      </c>
      <c r="O199" s="242">
        <f t="shared" si="362"/>
        <v>1048.714384989576</v>
      </c>
      <c r="P199" s="242">
        <f t="shared" si="362"/>
        <v>1080.0272665303339</v>
      </c>
      <c r="Q199" s="242">
        <f t="shared" si="362"/>
        <v>984.98641304347825</v>
      </c>
      <c r="R199" s="211">
        <f t="shared" si="362"/>
        <v>1186.9310793237971</v>
      </c>
      <c r="S199" s="242">
        <f t="shared" ref="S199:T199" si="363">S198/S202</f>
        <v>1268.3008356545961</v>
      </c>
      <c r="T199" s="242">
        <f t="shared" si="363"/>
        <v>1115.5529272619751</v>
      </c>
      <c r="U199" s="242">
        <f t="shared" ref="U199:W199" si="364">U198/U202</f>
        <v>1098.8468930172967</v>
      </c>
      <c r="V199" s="211">
        <f t="shared" si="364"/>
        <v>1270.1871657754009</v>
      </c>
      <c r="W199" s="242">
        <f t="shared" si="364"/>
        <v>1217.9051663128096</v>
      </c>
      <c r="X199" s="242">
        <f t="shared" ref="X199:AA199" si="365">X198/X202</f>
        <v>1209.9111414900888</v>
      </c>
      <c r="Y199" s="407">
        <f t="shared" si="365"/>
        <v>1306.614785992218</v>
      </c>
      <c r="Z199" s="211">
        <f t="shared" si="365"/>
        <v>1316.7542706964521</v>
      </c>
      <c r="AA199" s="242">
        <f t="shared" si="365"/>
        <v>1162.8608082103913</v>
      </c>
      <c r="AB199" s="242">
        <f t="shared" ref="AB199:AE199" si="366">AB198/AB202</f>
        <v>1081.2316715542522</v>
      </c>
      <c r="AC199" s="407">
        <f t="shared" si="366"/>
        <v>1336.9108461101648</v>
      </c>
      <c r="AD199" s="211">
        <f t="shared" si="366"/>
        <v>1044.9324324324323</v>
      </c>
      <c r="AE199" s="242">
        <f t="shared" si="366"/>
        <v>971.11468381564839</v>
      </c>
      <c r="AF199" s="242">
        <f t="shared" ref="AF199:AI199" si="367">AF198/AF202</f>
        <v>1005.9709521247983</v>
      </c>
      <c r="AG199" s="407">
        <f t="shared" si="367"/>
        <v>933.13672922252022</v>
      </c>
      <c r="AH199" s="211">
        <f t="shared" si="367"/>
        <v>1128.525980911983</v>
      </c>
      <c r="AI199" s="242">
        <f t="shared" si="367"/>
        <v>989.06838987614435</v>
      </c>
      <c r="AJ199" s="242">
        <f t="shared" ref="AJ199:AO199" si="368">AJ198/AJ202</f>
        <v>1201.0022271714922</v>
      </c>
      <c r="AK199" s="407">
        <f t="shared" si="368"/>
        <v>1353.1319910514542</v>
      </c>
      <c r="AL199" s="211">
        <f t="shared" si="368"/>
        <v>1359.9025974025974</v>
      </c>
      <c r="AM199" s="242">
        <f t="shared" si="368"/>
        <v>1288.5729907053035</v>
      </c>
      <c r="AN199" s="242">
        <f t="shared" si="368"/>
        <v>1317.517006802721</v>
      </c>
      <c r="AO199" s="407">
        <f t="shared" si="368"/>
        <v>1462.3611922852133</v>
      </c>
      <c r="AP199" s="211">
        <f t="shared" ref="AP199:AS199" si="369">AP198/AP202</f>
        <v>1520.1346389228886</v>
      </c>
      <c r="AQ199" s="242">
        <f t="shared" si="369"/>
        <v>1701.759708737864</v>
      </c>
      <c r="AR199" s="242" t="e">
        <f t="shared" si="369"/>
        <v>#DIV/0!</v>
      </c>
      <c r="AS199" s="407" t="e">
        <f t="shared" si="369"/>
        <v>#DIV/0!</v>
      </c>
    </row>
    <row r="200" spans="1:45" s="208" customFormat="1" ht="14.45" customHeight="1" x14ac:dyDescent="0.25">
      <c r="A200" s="225"/>
      <c r="B200" s="227" t="s">
        <v>136</v>
      </c>
      <c r="C200" s="225" t="s">
        <v>174</v>
      </c>
      <c r="D200" s="208" t="s">
        <v>175</v>
      </c>
      <c r="E200" s="253" t="s">
        <v>176</v>
      </c>
      <c r="F200" s="226"/>
      <c r="G200" s="253"/>
      <c r="H200" s="253"/>
      <c r="I200" s="352"/>
      <c r="J200" s="211">
        <v>9990</v>
      </c>
      <c r="K200" s="242">
        <v>10255</v>
      </c>
      <c r="L200" s="253">
        <v>11114</v>
      </c>
      <c r="M200" s="242">
        <v>11170</v>
      </c>
      <c r="N200" s="211">
        <v>12211</v>
      </c>
      <c r="O200" s="242">
        <v>15091</v>
      </c>
      <c r="P200" s="242">
        <v>15844</v>
      </c>
      <c r="Q200" s="242">
        <v>14509</v>
      </c>
      <c r="R200" s="211">
        <v>18255</v>
      </c>
      <c r="S200" s="242">
        <v>22766</v>
      </c>
      <c r="T200" s="242">
        <v>18864</v>
      </c>
      <c r="U200" s="242">
        <v>17153</v>
      </c>
      <c r="V200" s="211">
        <v>19002</v>
      </c>
      <c r="W200" s="242">
        <v>17209</v>
      </c>
      <c r="X200" s="242">
        <v>17701</v>
      </c>
      <c r="Y200" s="407">
        <v>20148</v>
      </c>
      <c r="Z200" s="211">
        <v>20041</v>
      </c>
      <c r="AA200" s="242">
        <v>18129</v>
      </c>
      <c r="AB200" s="242">
        <v>18441</v>
      </c>
      <c r="AC200" s="407">
        <v>23536</v>
      </c>
      <c r="AD200" s="211">
        <v>18558</v>
      </c>
      <c r="AE200" s="242">
        <v>18121</v>
      </c>
      <c r="AF200" s="242">
        <v>18701</v>
      </c>
      <c r="AG200" s="407">
        <v>17403</v>
      </c>
      <c r="AH200" s="211">
        <v>21284</v>
      </c>
      <c r="AI200" s="242">
        <v>18866</v>
      </c>
      <c r="AJ200" s="242">
        <v>21570</v>
      </c>
      <c r="AK200" s="407">
        <v>24336</v>
      </c>
      <c r="AL200" s="211">
        <v>25146</v>
      </c>
      <c r="AM200" s="242">
        <v>23656</v>
      </c>
      <c r="AN200" s="242">
        <v>23297</v>
      </c>
      <c r="AO200" s="407">
        <v>25103</v>
      </c>
      <c r="AP200" s="211">
        <v>24967</v>
      </c>
      <c r="AQ200" s="242">
        <v>28404</v>
      </c>
      <c r="AR200" s="242"/>
      <c r="AS200" s="407"/>
    </row>
    <row r="201" spans="1:45" s="208" customFormat="1" ht="14.45" customHeight="1" x14ac:dyDescent="0.25">
      <c r="A201" s="225"/>
      <c r="B201" s="227" t="s">
        <v>137</v>
      </c>
      <c r="C201" s="369">
        <v>0.56458333333333333</v>
      </c>
      <c r="D201" s="208" t="s">
        <v>177</v>
      </c>
      <c r="E201" s="253"/>
      <c r="F201" s="226"/>
      <c r="G201" s="253"/>
      <c r="H201" s="253"/>
      <c r="I201" s="352"/>
      <c r="J201" s="360">
        <f>+J200/(J202)</f>
        <v>835.28428093645482</v>
      </c>
      <c r="K201" s="359">
        <f>+K200/(K202)-1</f>
        <v>809.67193675889325</v>
      </c>
      <c r="L201" s="253">
        <v>791</v>
      </c>
      <c r="M201" s="242">
        <f t="shared" ref="M201:R201" si="370">M200/M202</f>
        <v>780.57302585604475</v>
      </c>
      <c r="N201" s="211">
        <f t="shared" si="370"/>
        <v>871.59172019985726</v>
      </c>
      <c r="O201" s="242">
        <f t="shared" si="370"/>
        <v>1048.714384989576</v>
      </c>
      <c r="P201" s="242">
        <f t="shared" si="370"/>
        <v>1080.0272665303339</v>
      </c>
      <c r="Q201" s="242">
        <f t="shared" si="370"/>
        <v>985.66576086956513</v>
      </c>
      <c r="R201" s="211">
        <f t="shared" si="370"/>
        <v>1186.9310793237971</v>
      </c>
      <c r="S201" s="242">
        <f t="shared" ref="S201:T201" si="371">S200/S202</f>
        <v>1268.3008356545961</v>
      </c>
      <c r="T201" s="242">
        <f t="shared" si="371"/>
        <v>1115.5529272619751</v>
      </c>
      <c r="U201" s="242">
        <f t="shared" ref="U201:W201" si="372">U200/U202</f>
        <v>1098.8468930172967</v>
      </c>
      <c r="V201" s="211">
        <f t="shared" si="372"/>
        <v>1270.1871657754009</v>
      </c>
      <c r="W201" s="242">
        <f t="shared" si="372"/>
        <v>1217.9051663128096</v>
      </c>
      <c r="X201" s="242">
        <f t="shared" ref="X201:AA201" si="373">X200/X202</f>
        <v>1209.9111414900888</v>
      </c>
      <c r="Y201" s="407">
        <f t="shared" si="373"/>
        <v>1306.614785992218</v>
      </c>
      <c r="Z201" s="211">
        <f t="shared" si="373"/>
        <v>1316.7542706964521</v>
      </c>
      <c r="AA201" s="242">
        <f t="shared" si="373"/>
        <v>1162.8608082103913</v>
      </c>
      <c r="AB201" s="242">
        <f t="shared" ref="AB201:AE201" si="374">AB200/AB202</f>
        <v>1081.5835777126099</v>
      </c>
      <c r="AC201" s="407">
        <f t="shared" si="374"/>
        <v>1336.5133446905168</v>
      </c>
      <c r="AD201" s="211">
        <f t="shared" si="374"/>
        <v>1044.9324324324323</v>
      </c>
      <c r="AE201" s="242">
        <f t="shared" si="374"/>
        <v>971.11468381564839</v>
      </c>
      <c r="AF201" s="242">
        <f t="shared" ref="AF201:AI201" si="375">AF200/AF202</f>
        <v>1005.9709521247983</v>
      </c>
      <c r="AG201" s="407">
        <f t="shared" si="375"/>
        <v>933.13672922252022</v>
      </c>
      <c r="AH201" s="211">
        <f t="shared" si="375"/>
        <v>1128.525980911983</v>
      </c>
      <c r="AI201" s="242">
        <f t="shared" si="375"/>
        <v>1015.9396876682822</v>
      </c>
      <c r="AJ201" s="242">
        <f t="shared" ref="AJ201:AO201" si="376">AJ200/AJ202</f>
        <v>1201.0022271714922</v>
      </c>
      <c r="AK201" s="407">
        <f t="shared" si="376"/>
        <v>1361.0738255033557</v>
      </c>
      <c r="AL201" s="211">
        <f t="shared" si="376"/>
        <v>1360.7142857142858</v>
      </c>
      <c r="AM201" s="242">
        <f t="shared" si="376"/>
        <v>1293.3843630399126</v>
      </c>
      <c r="AN201" s="242">
        <f t="shared" si="376"/>
        <v>1320.6916099773243</v>
      </c>
      <c r="AO201" s="407">
        <f t="shared" si="376"/>
        <v>1467.1537112799533</v>
      </c>
      <c r="AP201" s="211">
        <f t="shared" ref="AP201:AS201" si="377">AP200/AP202</f>
        <v>1527.9681762545899</v>
      </c>
      <c r="AQ201" s="242">
        <f t="shared" si="377"/>
        <v>1723.5436893203882</v>
      </c>
      <c r="AR201" s="242" t="e">
        <f t="shared" si="377"/>
        <v>#DIV/0!</v>
      </c>
      <c r="AS201" s="407" t="e">
        <f t="shared" si="377"/>
        <v>#DIV/0!</v>
      </c>
    </row>
    <row r="202" spans="1:45" s="208" customFormat="1" x14ac:dyDescent="0.25">
      <c r="A202" s="225"/>
      <c r="B202" s="227" t="s">
        <v>83</v>
      </c>
      <c r="C202" s="225"/>
      <c r="E202" s="253"/>
      <c r="F202" s="226"/>
      <c r="G202" s="253"/>
      <c r="H202" s="253"/>
      <c r="I202" s="352"/>
      <c r="J202" s="288">
        <v>11.96</v>
      </c>
      <c r="K202" s="243">
        <v>12.65</v>
      </c>
      <c r="L202" s="243">
        <v>14.05</v>
      </c>
      <c r="M202" s="364">
        <v>14.31</v>
      </c>
      <c r="N202" s="365">
        <v>14.01</v>
      </c>
      <c r="O202" s="364">
        <v>14.39</v>
      </c>
      <c r="P202" s="364">
        <v>14.67</v>
      </c>
      <c r="Q202" s="364">
        <v>14.72</v>
      </c>
      <c r="R202" s="365">
        <v>15.38</v>
      </c>
      <c r="S202" s="364">
        <v>17.95</v>
      </c>
      <c r="T202" s="364">
        <v>16.91</v>
      </c>
      <c r="U202" s="364">
        <v>15.61</v>
      </c>
      <c r="V202" s="365">
        <v>14.96</v>
      </c>
      <c r="W202" s="243">
        <v>14.13</v>
      </c>
      <c r="X202" s="243">
        <v>14.63</v>
      </c>
      <c r="Y202" s="326">
        <v>15.42</v>
      </c>
      <c r="Z202" s="365">
        <v>15.22</v>
      </c>
      <c r="AA202" s="243">
        <v>15.59</v>
      </c>
      <c r="AB202" s="243">
        <v>17.05</v>
      </c>
      <c r="AC202" s="326">
        <v>17.61</v>
      </c>
      <c r="AD202" s="365">
        <v>17.760000000000002</v>
      </c>
      <c r="AE202" s="243">
        <v>18.66</v>
      </c>
      <c r="AF202" s="297">
        <v>18.59</v>
      </c>
      <c r="AG202" s="326">
        <v>18.649999999999999</v>
      </c>
      <c r="AH202" s="365">
        <v>18.86</v>
      </c>
      <c r="AI202" s="297">
        <v>18.57</v>
      </c>
      <c r="AJ202" s="297">
        <v>17.96</v>
      </c>
      <c r="AK202" s="326">
        <v>17.88</v>
      </c>
      <c r="AL202" s="301">
        <v>18.48</v>
      </c>
      <c r="AM202" s="297">
        <v>18.29</v>
      </c>
      <c r="AN202" s="297">
        <v>17.64</v>
      </c>
      <c r="AO202" s="326">
        <v>17.11</v>
      </c>
      <c r="AP202" s="301">
        <v>16.34</v>
      </c>
      <c r="AQ202" s="297">
        <v>16.48</v>
      </c>
      <c r="AR202" s="297"/>
      <c r="AS202" s="326"/>
    </row>
    <row r="203" spans="1:45" s="208" customFormat="1" x14ac:dyDescent="0.25">
      <c r="A203" s="307"/>
      <c r="B203" s="305"/>
      <c r="C203" s="307"/>
      <c r="D203" s="313"/>
      <c r="E203" s="313"/>
      <c r="F203" s="307"/>
      <c r="G203" s="313"/>
      <c r="H203" s="313"/>
      <c r="I203" s="305"/>
      <c r="J203" s="307"/>
      <c r="K203" s="313"/>
      <c r="L203" s="313"/>
      <c r="M203" s="313"/>
      <c r="N203" s="307"/>
      <c r="O203" s="313"/>
      <c r="P203" s="313"/>
      <c r="Q203" s="313"/>
      <c r="R203" s="307"/>
      <c r="S203" s="313"/>
      <c r="T203" s="313"/>
      <c r="U203" s="313"/>
      <c r="V203" s="307"/>
      <c r="W203" s="313"/>
      <c r="X203" s="313"/>
      <c r="Y203" s="305"/>
      <c r="Z203" s="307"/>
      <c r="AA203" s="313"/>
      <c r="AB203" s="313"/>
      <c r="AC203" s="305"/>
      <c r="AD203" s="307"/>
      <c r="AE203" s="313"/>
      <c r="AF203" s="313"/>
      <c r="AG203" s="305"/>
      <c r="AH203" s="307"/>
      <c r="AI203" s="313"/>
      <c r="AJ203" s="313"/>
      <c r="AK203" s="305"/>
      <c r="AL203" s="307"/>
      <c r="AM203" s="313"/>
      <c r="AN203" s="313"/>
      <c r="AO203" s="305"/>
      <c r="AP203" s="307"/>
      <c r="AQ203" s="313"/>
      <c r="AR203" s="313"/>
      <c r="AS203" s="305"/>
    </row>
    <row r="204" spans="1:45" ht="21" x14ac:dyDescent="0.35">
      <c r="A204" s="160"/>
      <c r="B204" s="184" t="s">
        <v>167</v>
      </c>
      <c r="C204" s="135"/>
      <c r="D204" s="136"/>
      <c r="E204" s="136"/>
      <c r="F204" s="138"/>
      <c r="G204" s="136"/>
      <c r="H204" s="13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8"/>
      <c r="S204" s="136"/>
      <c r="T204" s="136"/>
      <c r="U204" s="136"/>
      <c r="V204" s="138"/>
      <c r="W204" s="136"/>
      <c r="X204" s="136"/>
      <c r="Y204" s="137"/>
      <c r="Z204" s="138"/>
      <c r="AA204" s="136"/>
      <c r="AB204" s="136"/>
      <c r="AC204" s="137"/>
      <c r="AD204" s="138"/>
      <c r="AE204" s="136"/>
      <c r="AF204" s="136"/>
      <c r="AG204" s="137"/>
      <c r="AH204" s="138"/>
      <c r="AI204" s="136"/>
      <c r="AJ204" s="136"/>
      <c r="AK204" s="137"/>
      <c r="AL204" s="138"/>
      <c r="AM204" s="136"/>
      <c r="AN204" s="136"/>
      <c r="AO204" s="137"/>
      <c r="AP204" s="138"/>
      <c r="AQ204" s="136"/>
      <c r="AR204" s="136"/>
      <c r="AS204" s="137"/>
    </row>
    <row r="205" spans="1:45" s="208" customFormat="1" ht="18.75" x14ac:dyDescent="0.3">
      <c r="A205" s="225"/>
      <c r="B205" s="327"/>
      <c r="C205" s="213"/>
      <c r="E205" s="227"/>
      <c r="F205" s="225"/>
      <c r="I205" s="227"/>
      <c r="J205" s="225"/>
      <c r="N205" s="225"/>
      <c r="R205" s="225"/>
      <c r="V205" s="225"/>
      <c r="Y205" s="227"/>
      <c r="Z205" s="225"/>
      <c r="AC205" s="227"/>
      <c r="AD205" s="225"/>
      <c r="AG205" s="227"/>
      <c r="AH205" s="225"/>
      <c r="AK205" s="227"/>
      <c r="AL205" s="225"/>
      <c r="AO205" s="227"/>
      <c r="AP205" s="225"/>
      <c r="AS205" s="227"/>
    </row>
    <row r="206" spans="1:45" s="208" customFormat="1" x14ac:dyDescent="0.25">
      <c r="A206" s="225"/>
      <c r="B206" s="290" t="s">
        <v>51</v>
      </c>
      <c r="C206" s="213"/>
      <c r="E206" s="227"/>
      <c r="F206" s="225"/>
      <c r="I206" s="227"/>
      <c r="J206" s="262"/>
      <c r="K206" s="249"/>
      <c r="L206" s="249"/>
      <c r="M206" s="249"/>
      <c r="N206" s="262"/>
      <c r="O206" s="249">
        <f>+(3057+2573+2006+211+450+3)</f>
        <v>8300</v>
      </c>
      <c r="P206" s="242">
        <f>9806+6875+5992+801+1550+120</f>
        <v>25144</v>
      </c>
      <c r="Q206" s="242">
        <f>9405+6668+4309+1005+1562</f>
        <v>22949</v>
      </c>
      <c r="R206" s="211">
        <f>+(7415+4618+4559+989+1483)</f>
        <v>19064</v>
      </c>
      <c r="S206" s="249">
        <v>7607</v>
      </c>
      <c r="T206" s="249">
        <f>7579+4864+5288+1081+1463</f>
        <v>20275</v>
      </c>
      <c r="U206" s="249">
        <f>9468+6312+5163+1145+1597</f>
        <v>23685</v>
      </c>
      <c r="V206" s="262">
        <f>6459+5332+3982+896+1147</f>
        <v>17816</v>
      </c>
      <c r="W206" s="249">
        <v>21770</v>
      </c>
      <c r="X206" s="249">
        <v>21554</v>
      </c>
      <c r="Y206" s="291">
        <f>7419+5632+3607+957+969</f>
        <v>18584</v>
      </c>
      <c r="Z206" s="262">
        <v>15908</v>
      </c>
      <c r="AA206" s="249">
        <f>8535+4928+4049+780+968+908</f>
        <v>20168</v>
      </c>
      <c r="AB206" s="249">
        <v>21310</v>
      </c>
      <c r="AC206" s="291">
        <v>20362</v>
      </c>
      <c r="AD206" s="262">
        <v>17654</v>
      </c>
      <c r="AE206" s="249">
        <v>21014</v>
      </c>
      <c r="AF206" s="249">
        <v>24118</v>
      </c>
      <c r="AG206" s="291">
        <v>20470</v>
      </c>
      <c r="AH206" s="262">
        <f>7970+2634+2270+1051+237+2358</f>
        <v>16520</v>
      </c>
      <c r="AI206" s="249">
        <v>19910</v>
      </c>
      <c r="AJ206" s="249">
        <v>21627</v>
      </c>
      <c r="AK206" s="291">
        <v>18591</v>
      </c>
      <c r="AL206" s="262">
        <v>13670</v>
      </c>
      <c r="AM206" s="249">
        <v>16492</v>
      </c>
      <c r="AN206" s="249">
        <v>19553</v>
      </c>
      <c r="AO206" s="291">
        <v>17249</v>
      </c>
      <c r="AP206" s="262">
        <v>14022</v>
      </c>
      <c r="AQ206" s="249">
        <v>14806</v>
      </c>
      <c r="AR206" s="249"/>
      <c r="AS206" s="291"/>
    </row>
    <row r="207" spans="1:45" s="208" customFormat="1" x14ac:dyDescent="0.25">
      <c r="A207" s="225"/>
      <c r="B207" s="292" t="s">
        <v>123</v>
      </c>
      <c r="C207" s="213"/>
      <c r="E207" s="227"/>
      <c r="F207" s="225"/>
      <c r="I207" s="227"/>
      <c r="K207" s="249"/>
      <c r="L207" s="249"/>
      <c r="M207" s="249"/>
      <c r="N207" s="262"/>
      <c r="O207" s="249"/>
      <c r="P207" s="368"/>
      <c r="Q207" s="368"/>
      <c r="R207" s="367"/>
      <c r="S207" s="249"/>
      <c r="T207" s="249"/>
      <c r="U207" s="249"/>
      <c r="V207" s="262"/>
      <c r="W207" s="249"/>
      <c r="X207" s="249"/>
      <c r="Y207" s="291"/>
      <c r="Z207" s="262"/>
      <c r="AA207" s="249"/>
      <c r="AB207" s="249"/>
      <c r="AC207" s="291"/>
      <c r="AD207" s="262"/>
      <c r="AE207" s="249"/>
      <c r="AF207" s="249"/>
      <c r="AG207" s="291"/>
      <c r="AH207" s="262"/>
      <c r="AI207" s="249"/>
      <c r="AJ207" s="249"/>
      <c r="AK207" s="291"/>
      <c r="AL207" s="262"/>
      <c r="AM207" s="249"/>
      <c r="AN207" s="249"/>
      <c r="AO207" s="291"/>
      <c r="AQ207" s="249"/>
      <c r="AR207" s="249"/>
      <c r="AS207" s="291"/>
    </row>
    <row r="208" spans="1:45" s="208" customFormat="1" x14ac:dyDescent="0.25">
      <c r="A208" s="225"/>
      <c r="B208" s="227" t="s">
        <v>52</v>
      </c>
      <c r="C208" s="213"/>
      <c r="D208" s="249"/>
      <c r="E208" s="291"/>
      <c r="F208" s="262"/>
      <c r="G208" s="249"/>
      <c r="H208" s="249"/>
      <c r="I208" s="291"/>
      <c r="J208" s="262"/>
      <c r="K208" s="249"/>
      <c r="L208" s="249"/>
      <c r="M208" s="249"/>
      <c r="N208" s="262"/>
      <c r="O208" s="249">
        <v>780</v>
      </c>
      <c r="P208" s="242">
        <v>2227</v>
      </c>
      <c r="Q208" s="242">
        <v>1711</v>
      </c>
      <c r="R208" s="211">
        <v>1486</v>
      </c>
      <c r="S208" s="249">
        <v>801</v>
      </c>
      <c r="T208" s="249">
        <v>1526</v>
      </c>
      <c r="U208" s="249">
        <v>1796</v>
      </c>
      <c r="V208" s="262">
        <v>1536</v>
      </c>
      <c r="W208" s="249">
        <v>1767</v>
      </c>
      <c r="X208" s="249">
        <v>1889</v>
      </c>
      <c r="Y208" s="291">
        <v>1610</v>
      </c>
      <c r="Z208" s="262">
        <v>1538</v>
      </c>
      <c r="AA208" s="249">
        <v>1602</v>
      </c>
      <c r="AB208" s="249">
        <v>1515</v>
      </c>
      <c r="AC208" s="291">
        <v>1660</v>
      </c>
      <c r="AD208" s="262">
        <v>1436</v>
      </c>
      <c r="AE208" s="249">
        <v>1557</v>
      </c>
      <c r="AF208" s="249">
        <v>1709</v>
      </c>
      <c r="AG208" s="291">
        <v>1552</v>
      </c>
      <c r="AH208" s="262">
        <v>1424</v>
      </c>
      <c r="AI208" s="249">
        <v>1508</v>
      </c>
      <c r="AJ208" s="249">
        <v>1674</v>
      </c>
      <c r="AK208" s="291">
        <v>1533</v>
      </c>
      <c r="AL208" s="262">
        <v>1315</v>
      </c>
      <c r="AM208" s="249">
        <v>1525</v>
      </c>
      <c r="AN208" s="249">
        <v>1760</v>
      </c>
      <c r="AO208" s="291">
        <v>1502</v>
      </c>
      <c r="AP208" s="262">
        <v>1459.3219999999999</v>
      </c>
      <c r="AQ208" s="249">
        <v>1475</v>
      </c>
      <c r="AR208" s="249"/>
      <c r="AS208" s="291"/>
    </row>
    <row r="209" spans="1:59" s="208" customFormat="1" x14ac:dyDescent="0.25">
      <c r="A209" s="225"/>
      <c r="B209" s="227" t="s">
        <v>53</v>
      </c>
      <c r="C209" s="213"/>
      <c r="D209" s="249"/>
      <c r="E209" s="291"/>
      <c r="F209" s="262"/>
      <c r="G209" s="249"/>
      <c r="H209" s="249"/>
      <c r="I209" s="291"/>
      <c r="J209" s="262"/>
      <c r="K209" s="249"/>
      <c r="L209" s="249"/>
      <c r="M209" s="249"/>
      <c r="N209" s="262"/>
      <c r="O209" s="249">
        <v>302</v>
      </c>
      <c r="P209" s="242">
        <v>925</v>
      </c>
      <c r="Q209" s="242">
        <v>849</v>
      </c>
      <c r="R209" s="211">
        <v>819</v>
      </c>
      <c r="S209" s="249">
        <v>725</v>
      </c>
      <c r="T209" s="249">
        <v>976</v>
      </c>
      <c r="U209" s="249">
        <v>927</v>
      </c>
      <c r="V209" s="262">
        <v>892</v>
      </c>
      <c r="W209" s="249">
        <v>934</v>
      </c>
      <c r="X209" s="249">
        <v>1044</v>
      </c>
      <c r="Y209" s="291">
        <v>999</v>
      </c>
      <c r="Z209" s="262">
        <v>928</v>
      </c>
      <c r="AA209" s="249">
        <v>952</v>
      </c>
      <c r="AB209" s="249">
        <v>927</v>
      </c>
      <c r="AC209" s="291">
        <v>892</v>
      </c>
      <c r="AD209" s="262">
        <v>812</v>
      </c>
      <c r="AE209" s="249">
        <v>918</v>
      </c>
      <c r="AF209" s="249">
        <v>869</v>
      </c>
      <c r="AG209" s="291">
        <v>1028</v>
      </c>
      <c r="AH209" s="262">
        <v>1015</v>
      </c>
      <c r="AI209" s="249">
        <v>1036</v>
      </c>
      <c r="AJ209" s="249">
        <v>1043</v>
      </c>
      <c r="AK209" s="291">
        <v>941</v>
      </c>
      <c r="AL209" s="262">
        <v>728</v>
      </c>
      <c r="AM209" s="249">
        <v>841</v>
      </c>
      <c r="AN209" s="249">
        <v>960</v>
      </c>
      <c r="AO209" s="291">
        <v>787</v>
      </c>
      <c r="AP209" s="262">
        <v>807.33399999999995</v>
      </c>
      <c r="AQ209" s="249">
        <v>802</v>
      </c>
      <c r="AR209" s="249"/>
      <c r="AS209" s="291"/>
    </row>
    <row r="210" spans="1:59" s="1" customFormat="1" x14ac:dyDescent="0.25">
      <c r="A210" s="306"/>
      <c r="B210" s="290" t="s">
        <v>54</v>
      </c>
      <c r="C210" s="139">
        <f t="shared" ref="C210:N210" si="378">+C209+C208</f>
        <v>0</v>
      </c>
      <c r="D210" s="140">
        <f t="shared" si="378"/>
        <v>0</v>
      </c>
      <c r="E210" s="141">
        <f t="shared" si="378"/>
        <v>0</v>
      </c>
      <c r="F210" s="139">
        <f t="shared" si="378"/>
        <v>0</v>
      </c>
      <c r="G210" s="140">
        <f t="shared" si="378"/>
        <v>0</v>
      </c>
      <c r="H210" s="140">
        <f t="shared" si="378"/>
        <v>0</v>
      </c>
      <c r="I210" s="141">
        <f t="shared" si="378"/>
        <v>0</v>
      </c>
      <c r="J210" s="139">
        <f t="shared" si="378"/>
        <v>0</v>
      </c>
      <c r="K210" s="140">
        <f t="shared" si="378"/>
        <v>0</v>
      </c>
      <c r="L210" s="140">
        <f t="shared" si="378"/>
        <v>0</v>
      </c>
      <c r="M210" s="140">
        <f t="shared" si="378"/>
        <v>0</v>
      </c>
      <c r="N210" s="139">
        <f t="shared" si="378"/>
        <v>0</v>
      </c>
      <c r="O210" s="140">
        <f t="shared" ref="O210:T210" si="379">+O209+O208</f>
        <v>1082</v>
      </c>
      <c r="P210" s="156">
        <f t="shared" si="379"/>
        <v>3152</v>
      </c>
      <c r="Q210" s="156">
        <f t="shared" si="379"/>
        <v>2560</v>
      </c>
      <c r="R210" s="155">
        <f t="shared" si="379"/>
        <v>2305</v>
      </c>
      <c r="S210" s="140">
        <f t="shared" si="379"/>
        <v>1526</v>
      </c>
      <c r="T210" s="140">
        <f t="shared" si="379"/>
        <v>2502</v>
      </c>
      <c r="U210" s="140">
        <f t="shared" ref="U210:W210" si="380">+U209+U208</f>
        <v>2723</v>
      </c>
      <c r="V210" s="139">
        <f t="shared" si="380"/>
        <v>2428</v>
      </c>
      <c r="W210" s="140">
        <f t="shared" si="380"/>
        <v>2701</v>
      </c>
      <c r="X210" s="140">
        <f t="shared" ref="X210:AA210" si="381">+X209+X208</f>
        <v>2933</v>
      </c>
      <c r="Y210" s="141">
        <f t="shared" si="381"/>
        <v>2609</v>
      </c>
      <c r="Z210" s="139">
        <f>+Z209+Z208</f>
        <v>2466</v>
      </c>
      <c r="AA210" s="140">
        <f t="shared" si="381"/>
        <v>2554</v>
      </c>
      <c r="AB210" s="140">
        <f t="shared" ref="AB210:AC210" si="382">+AB209+AB208</f>
        <v>2442</v>
      </c>
      <c r="AC210" s="141">
        <f t="shared" si="382"/>
        <v>2552</v>
      </c>
      <c r="AD210" s="139">
        <f>+AD209+AD208</f>
        <v>2248</v>
      </c>
      <c r="AE210" s="140">
        <f t="shared" ref="AE210:AG210" si="383">+AE209+AE208</f>
        <v>2475</v>
      </c>
      <c r="AF210" s="140">
        <f t="shared" si="383"/>
        <v>2578</v>
      </c>
      <c r="AG210" s="141">
        <f t="shared" si="383"/>
        <v>2580</v>
      </c>
      <c r="AH210" s="139">
        <f>+AH209+AH208-1</f>
        <v>2438</v>
      </c>
      <c r="AI210" s="140">
        <f t="shared" ref="AI210:AK210" si="384">+AI209+AI208</f>
        <v>2544</v>
      </c>
      <c r="AJ210" s="140">
        <f t="shared" si="384"/>
        <v>2717</v>
      </c>
      <c r="AK210" s="141">
        <f t="shared" si="384"/>
        <v>2474</v>
      </c>
      <c r="AL210" s="139">
        <f>+AL209+AL208</f>
        <v>2043</v>
      </c>
      <c r="AM210" s="140">
        <f t="shared" ref="AM210:AO210" si="385">+AM209+AM208</f>
        <v>2366</v>
      </c>
      <c r="AN210" s="140">
        <f t="shared" si="385"/>
        <v>2720</v>
      </c>
      <c r="AO210" s="141">
        <f t="shared" si="385"/>
        <v>2289</v>
      </c>
      <c r="AP210" s="139">
        <f>+AP209+AP208</f>
        <v>2266.6559999999999</v>
      </c>
      <c r="AQ210" s="140">
        <f>+AQ209+AQ208+1</f>
        <v>2278</v>
      </c>
      <c r="AR210" s="140">
        <f t="shared" ref="AR210:AS210" si="386">+AR209+AR208</f>
        <v>0</v>
      </c>
      <c r="AS210" s="141">
        <f t="shared" si="386"/>
        <v>0</v>
      </c>
      <c r="AT210" s="347"/>
      <c r="AU210" s="347"/>
      <c r="AV210" s="347"/>
      <c r="AW210" s="347"/>
      <c r="AX210" s="347"/>
      <c r="AY210" s="347"/>
      <c r="AZ210" s="347"/>
      <c r="BA210" s="347"/>
      <c r="BB210" s="347"/>
      <c r="BC210" s="347"/>
      <c r="BD210" s="347"/>
      <c r="BE210" s="347"/>
      <c r="BF210" s="347"/>
      <c r="BG210" s="347"/>
    </row>
    <row r="211" spans="1:59" s="208" customFormat="1" x14ac:dyDescent="0.25">
      <c r="A211" s="225"/>
      <c r="B211" s="292" t="s">
        <v>104</v>
      </c>
      <c r="C211" s="213"/>
      <c r="E211" s="227"/>
      <c r="F211" s="225"/>
      <c r="I211" s="227"/>
      <c r="J211" s="225"/>
      <c r="N211" s="225"/>
      <c r="R211" s="225"/>
      <c r="V211" s="225"/>
      <c r="Y211" s="227"/>
      <c r="Z211" s="225"/>
      <c r="AC211" s="227"/>
      <c r="AD211" s="225"/>
      <c r="AG211" s="227"/>
      <c r="AH211" s="225"/>
      <c r="AK211" s="227"/>
      <c r="AL211" s="225"/>
      <c r="AO211" s="227"/>
      <c r="AP211" s="225"/>
      <c r="AS211" s="227"/>
    </row>
    <row r="212" spans="1:59" s="208" customFormat="1" x14ac:dyDescent="0.25">
      <c r="A212" s="225"/>
      <c r="B212" s="227" t="s">
        <v>52</v>
      </c>
      <c r="C212" s="301"/>
      <c r="E212" s="350"/>
      <c r="F212" s="225"/>
      <c r="I212" s="227"/>
      <c r="J212" s="317"/>
      <c r="K212" s="243"/>
      <c r="L212" s="243"/>
      <c r="M212" s="243"/>
      <c r="N212" s="288"/>
      <c r="O212" s="208">
        <v>3.61</v>
      </c>
      <c r="P212" s="243">
        <v>3.6</v>
      </c>
      <c r="Q212" s="370">
        <v>3.62</v>
      </c>
      <c r="R212" s="371">
        <v>3.79</v>
      </c>
      <c r="S212" s="208">
        <v>3.49</v>
      </c>
      <c r="T212" s="208">
        <v>3.72</v>
      </c>
      <c r="U212" s="208">
        <v>3.69</v>
      </c>
      <c r="V212" s="225">
        <v>3.89</v>
      </c>
      <c r="W212" s="324">
        <v>3.8</v>
      </c>
      <c r="X212" s="324">
        <v>3.89</v>
      </c>
      <c r="Y212" s="350">
        <v>3.9</v>
      </c>
      <c r="Z212" s="225">
        <v>3.78</v>
      </c>
      <c r="AA212" s="324">
        <v>3.57</v>
      </c>
      <c r="AB212" s="324">
        <v>3.7</v>
      </c>
      <c r="AC212" s="350">
        <v>3.62</v>
      </c>
      <c r="AD212" s="225">
        <v>3.64</v>
      </c>
      <c r="AE212" s="324">
        <v>3.67</v>
      </c>
      <c r="AF212" s="324">
        <v>3.61</v>
      </c>
      <c r="AG212" s="350">
        <v>3.6</v>
      </c>
      <c r="AH212" s="225">
        <v>3.59</v>
      </c>
      <c r="AI212" s="324">
        <v>3.7</v>
      </c>
      <c r="AJ212" s="324">
        <v>3.78</v>
      </c>
      <c r="AK212" s="350">
        <v>3.97</v>
      </c>
      <c r="AL212" s="225">
        <v>3.67</v>
      </c>
      <c r="AM212" s="324">
        <v>3.72</v>
      </c>
      <c r="AN212" s="324">
        <v>3.67</v>
      </c>
      <c r="AO212" s="350">
        <v>3.71</v>
      </c>
      <c r="AP212" s="225">
        <v>3.69</v>
      </c>
      <c r="AQ212" s="324">
        <v>3.75</v>
      </c>
      <c r="AR212" s="324"/>
      <c r="AS212" s="350"/>
    </row>
    <row r="213" spans="1:59" s="208" customFormat="1" x14ac:dyDescent="0.25">
      <c r="A213" s="225"/>
      <c r="B213" s="227" t="s">
        <v>53</v>
      </c>
      <c r="C213" s="301"/>
      <c r="E213" s="227"/>
      <c r="F213" s="225"/>
      <c r="I213" s="227"/>
      <c r="J213" s="288"/>
      <c r="K213" s="243"/>
      <c r="L213" s="243"/>
      <c r="M213" s="245"/>
      <c r="N213" s="317"/>
      <c r="O213" s="243">
        <v>0.87</v>
      </c>
      <c r="P213" s="243">
        <v>0.9</v>
      </c>
      <c r="Q213" s="370">
        <v>0.94</v>
      </c>
      <c r="R213" s="371">
        <v>0.86</v>
      </c>
      <c r="S213" s="243">
        <v>0.85</v>
      </c>
      <c r="T213" s="243">
        <v>0.87</v>
      </c>
      <c r="U213" s="243">
        <v>0.87</v>
      </c>
      <c r="V213" s="288">
        <v>0.88</v>
      </c>
      <c r="W213" s="243">
        <v>0.85</v>
      </c>
      <c r="X213" s="243">
        <v>0.87</v>
      </c>
      <c r="Y213" s="326">
        <v>0.87</v>
      </c>
      <c r="Z213" s="288">
        <v>0.85</v>
      </c>
      <c r="AA213" s="243">
        <v>0.87</v>
      </c>
      <c r="AB213" s="243">
        <v>0.87</v>
      </c>
      <c r="AC213" s="326">
        <v>0.86</v>
      </c>
      <c r="AD213" s="288">
        <v>0.88</v>
      </c>
      <c r="AE213" s="243">
        <v>0.95</v>
      </c>
      <c r="AF213" s="243">
        <v>0.95</v>
      </c>
      <c r="AG213" s="326">
        <v>0.89</v>
      </c>
      <c r="AH213" s="288">
        <v>0.87</v>
      </c>
      <c r="AI213" s="243">
        <v>0.94</v>
      </c>
      <c r="AJ213" s="243">
        <v>1.07</v>
      </c>
      <c r="AK213" s="326">
        <v>1.1499999999999999</v>
      </c>
      <c r="AL213" s="288">
        <v>1.07</v>
      </c>
      <c r="AM213" s="243">
        <v>1.24</v>
      </c>
      <c r="AN213" s="243">
        <v>1.36</v>
      </c>
      <c r="AO213" s="326">
        <v>1.05</v>
      </c>
      <c r="AP213" s="288">
        <v>0.92</v>
      </c>
      <c r="AQ213" s="243">
        <v>0.92</v>
      </c>
      <c r="AR213" s="243"/>
      <c r="AS213" s="326"/>
    </row>
    <row r="214" spans="1:59" s="1" customFormat="1" x14ac:dyDescent="0.25">
      <c r="A214" s="306"/>
      <c r="B214" s="290" t="s">
        <v>56</v>
      </c>
      <c r="C214" s="148"/>
      <c r="D214" s="149"/>
      <c r="E214" s="150"/>
      <c r="F214" s="148"/>
      <c r="G214" s="149"/>
      <c r="H214" s="149"/>
      <c r="I214" s="150"/>
      <c r="J214" s="151"/>
      <c r="K214" s="162"/>
      <c r="L214" s="162"/>
      <c r="M214" s="162"/>
      <c r="N214" s="151"/>
      <c r="O214" s="162">
        <v>2.84</v>
      </c>
      <c r="P214" s="162">
        <v>2.81</v>
      </c>
      <c r="Q214" s="248">
        <v>2.73</v>
      </c>
      <c r="R214" s="265">
        <v>2.75</v>
      </c>
      <c r="S214" s="162">
        <v>2.2400000000000002</v>
      </c>
      <c r="T214" s="162">
        <v>2.61</v>
      </c>
      <c r="U214" s="162">
        <v>2.73</v>
      </c>
      <c r="V214" s="151">
        <v>2.78</v>
      </c>
      <c r="W214" s="162">
        <v>2.78</v>
      </c>
      <c r="X214" s="162">
        <v>2.82</v>
      </c>
      <c r="Y214" s="473">
        <v>2.74</v>
      </c>
      <c r="Z214" s="151">
        <v>2.68</v>
      </c>
      <c r="AA214" s="162">
        <v>2.56</v>
      </c>
      <c r="AB214" s="162">
        <v>2.63</v>
      </c>
      <c r="AC214" s="473">
        <v>2.66</v>
      </c>
      <c r="AD214" s="151">
        <v>2.64</v>
      </c>
      <c r="AE214" s="162">
        <v>2.66</v>
      </c>
      <c r="AF214" s="162">
        <v>2.71</v>
      </c>
      <c r="AG214" s="473">
        <v>2.52</v>
      </c>
      <c r="AH214" s="151">
        <v>2.46</v>
      </c>
      <c r="AI214" s="162">
        <v>2.58</v>
      </c>
      <c r="AJ214" s="162">
        <v>2.74</v>
      </c>
      <c r="AK214" s="497">
        <v>2.9</v>
      </c>
      <c r="AL214" s="151">
        <v>2.74</v>
      </c>
      <c r="AM214" s="162">
        <v>2.84</v>
      </c>
      <c r="AN214" s="162">
        <v>2.85</v>
      </c>
      <c r="AO214" s="497">
        <v>2.8</v>
      </c>
      <c r="AP214" s="263">
        <v>2.7</v>
      </c>
      <c r="AQ214" s="162">
        <v>2.75</v>
      </c>
      <c r="AR214" s="162"/>
      <c r="AS214" s="497"/>
      <c r="AT214" s="347"/>
      <c r="AU214" s="347"/>
      <c r="AV214" s="347"/>
      <c r="AW214" s="347"/>
      <c r="AX214" s="347"/>
      <c r="AY214" s="347"/>
      <c r="AZ214" s="347"/>
      <c r="BA214" s="347"/>
      <c r="BB214" s="347"/>
      <c r="BC214" s="347"/>
      <c r="BD214" s="347"/>
      <c r="BE214" s="347"/>
      <c r="BF214" s="347"/>
      <c r="BG214" s="347"/>
    </row>
    <row r="215" spans="1:59" s="208" customFormat="1" ht="17.25" x14ac:dyDescent="0.25">
      <c r="A215" s="225"/>
      <c r="B215" s="292" t="s">
        <v>182</v>
      </c>
      <c r="C215" s="213"/>
      <c r="E215" s="227"/>
      <c r="F215" s="225"/>
      <c r="I215" s="227"/>
      <c r="J215" s="225"/>
      <c r="L215" s="243"/>
      <c r="N215" s="225"/>
      <c r="R215" s="225"/>
      <c r="V215" s="225"/>
      <c r="Y215" s="227"/>
      <c r="Z215" s="225"/>
      <c r="AC215" s="227"/>
      <c r="AD215" s="225"/>
      <c r="AG215" s="227"/>
      <c r="AH215" s="225"/>
      <c r="AK215" s="227"/>
      <c r="AL215" s="225"/>
      <c r="AO215" s="227"/>
      <c r="AP215" s="225"/>
      <c r="AS215" s="227"/>
    </row>
    <row r="216" spans="1:59" s="208" customFormat="1" x14ac:dyDescent="0.25">
      <c r="A216" s="225"/>
      <c r="B216" s="227" t="s">
        <v>52</v>
      </c>
      <c r="C216" s="213"/>
      <c r="D216" s="249"/>
      <c r="E216" s="291"/>
      <c r="F216" s="262"/>
      <c r="G216" s="249"/>
      <c r="H216" s="249"/>
      <c r="I216" s="291"/>
      <c r="J216" s="262"/>
      <c r="K216" s="249"/>
      <c r="L216" s="214"/>
      <c r="M216" s="249"/>
      <c r="N216" s="262"/>
      <c r="O216" s="249">
        <v>78817</v>
      </c>
      <c r="P216" s="242">
        <v>221635</v>
      </c>
      <c r="Q216" s="242">
        <v>167692</v>
      </c>
      <c r="R216" s="461">
        <v>157661</v>
      </c>
      <c r="S216" s="462">
        <v>78995</v>
      </c>
      <c r="T216" s="462">
        <v>160221</v>
      </c>
      <c r="U216" s="462">
        <v>185064.4</v>
      </c>
      <c r="V216" s="463">
        <v>168179.7</v>
      </c>
      <c r="W216" s="462">
        <v>188217</v>
      </c>
      <c r="X216" s="249">
        <v>205340.2</v>
      </c>
      <c r="Y216" s="291">
        <v>175492</v>
      </c>
      <c r="Z216" s="262">
        <v>162540</v>
      </c>
      <c r="AA216" s="249">
        <v>159793</v>
      </c>
      <c r="AB216" s="249">
        <v>156873</v>
      </c>
      <c r="AC216" s="291">
        <v>167645</v>
      </c>
      <c r="AD216" s="262">
        <v>146346</v>
      </c>
      <c r="AE216" s="249">
        <v>159863</v>
      </c>
      <c r="AF216" s="249">
        <v>171498</v>
      </c>
      <c r="AG216" s="291">
        <v>154274</v>
      </c>
      <c r="AH216" s="262">
        <v>141666</v>
      </c>
      <c r="AI216" s="249">
        <v>155003</v>
      </c>
      <c r="AJ216" s="249">
        <v>176406</v>
      </c>
      <c r="AK216" s="291">
        <v>171415</v>
      </c>
      <c r="AL216" s="262">
        <v>134871</v>
      </c>
      <c r="AM216" s="249">
        <v>157434</v>
      </c>
      <c r="AN216" s="249">
        <v>180031</v>
      </c>
      <c r="AO216" s="291">
        <v>156309</v>
      </c>
      <c r="AP216" s="262">
        <v>150320</v>
      </c>
      <c r="AQ216" s="249">
        <v>154721</v>
      </c>
      <c r="AR216" s="249"/>
      <c r="AS216" s="291"/>
    </row>
    <row r="217" spans="1:59" s="208" customFormat="1" x14ac:dyDescent="0.25">
      <c r="A217" s="225"/>
      <c r="B217" s="227" t="s">
        <v>53</v>
      </c>
      <c r="C217" s="213"/>
      <c r="D217" s="249"/>
      <c r="E217" s="291"/>
      <c r="F217" s="262"/>
      <c r="G217" s="249"/>
      <c r="H217" s="249"/>
      <c r="I217" s="291"/>
      <c r="J217" s="262"/>
      <c r="K217" s="249"/>
      <c r="L217" s="214"/>
      <c r="M217" s="249"/>
      <c r="N217" s="262"/>
      <c r="O217" s="249">
        <v>2140</v>
      </c>
      <c r="P217" s="242">
        <v>19375</v>
      </c>
      <c r="Q217" s="242">
        <v>17939</v>
      </c>
      <c r="R217" s="461">
        <f>6369+7967</f>
        <v>14336</v>
      </c>
      <c r="S217" s="462">
        <f>4696+18949</f>
        <v>23645</v>
      </c>
      <c r="T217" s="462">
        <f>6715+10781</f>
        <v>17496</v>
      </c>
      <c r="U217" s="462">
        <f>6617.4+12438.9</f>
        <v>19056.3</v>
      </c>
      <c r="V217" s="463">
        <f>6691+19124.7</f>
        <v>25815.7</v>
      </c>
      <c r="W217" s="462">
        <f>6472+15702</f>
        <v>22174</v>
      </c>
      <c r="X217" s="249">
        <v>21251</v>
      </c>
      <c r="Y217" s="291">
        <v>19549</v>
      </c>
      <c r="Z217" s="262">
        <f>6562+10692</f>
        <v>17254</v>
      </c>
      <c r="AA217" s="249">
        <f>6368+14654</f>
        <v>21022</v>
      </c>
      <c r="AB217" s="249">
        <f>6723+16720</f>
        <v>23443</v>
      </c>
      <c r="AC217" s="291">
        <f>6413+21278</f>
        <v>27691</v>
      </c>
      <c r="AD217" s="262">
        <f>5276+23908</f>
        <v>29184</v>
      </c>
      <c r="AE217" s="249">
        <f>7049+25633</f>
        <v>32682</v>
      </c>
      <c r="AF217" s="249">
        <f>7516+23995</f>
        <v>31511</v>
      </c>
      <c r="AG217" s="291">
        <f>8327+22867</f>
        <v>31194</v>
      </c>
      <c r="AH217" s="262">
        <f>7621+25605</f>
        <v>33226</v>
      </c>
      <c r="AI217" s="249">
        <f>8399+24541</f>
        <v>32940</v>
      </c>
      <c r="AJ217" s="249">
        <f>9448+25118</f>
        <v>34566</v>
      </c>
      <c r="AK217" s="291">
        <f>9287+21200</f>
        <v>30487</v>
      </c>
      <c r="AL217" s="262">
        <f>5475+17753</f>
        <v>23228</v>
      </c>
      <c r="AM217" s="249">
        <f>6609+18041</f>
        <v>24650</v>
      </c>
      <c r="AN217" s="249">
        <f>8612+17189</f>
        <v>25801</v>
      </c>
      <c r="AO217" s="291">
        <f>3542+20167</f>
        <v>23709</v>
      </c>
      <c r="AP217" s="262">
        <f>2061+19724</f>
        <v>21785</v>
      </c>
      <c r="AQ217" s="249">
        <f>1932+21936</f>
        <v>23868</v>
      </c>
      <c r="AR217" s="249"/>
      <c r="AS217" s="291"/>
    </row>
    <row r="218" spans="1:59" s="1" customFormat="1" x14ac:dyDescent="0.25">
      <c r="A218" s="306"/>
      <c r="B218" s="290" t="s">
        <v>54</v>
      </c>
      <c r="C218" s="139">
        <f t="shared" ref="C218:Q218" si="387">+C217+C216</f>
        <v>0</v>
      </c>
      <c r="D218" s="140">
        <f t="shared" si="387"/>
        <v>0</v>
      </c>
      <c r="E218" s="141">
        <f t="shared" si="387"/>
        <v>0</v>
      </c>
      <c r="F218" s="139">
        <f t="shared" si="387"/>
        <v>0</v>
      </c>
      <c r="G218" s="140">
        <f t="shared" si="387"/>
        <v>0</v>
      </c>
      <c r="H218" s="140">
        <f t="shared" si="387"/>
        <v>0</v>
      </c>
      <c r="I218" s="141">
        <f t="shared" si="387"/>
        <v>0</v>
      </c>
      <c r="J218" s="139">
        <f t="shared" si="387"/>
        <v>0</v>
      </c>
      <c r="K218" s="140">
        <f t="shared" si="387"/>
        <v>0</v>
      </c>
      <c r="L218" s="140">
        <f t="shared" si="387"/>
        <v>0</v>
      </c>
      <c r="M218" s="140">
        <f t="shared" si="387"/>
        <v>0</v>
      </c>
      <c r="N218" s="139">
        <f t="shared" si="387"/>
        <v>0</v>
      </c>
      <c r="O218" s="140">
        <f t="shared" si="387"/>
        <v>80957</v>
      </c>
      <c r="P218" s="156">
        <f t="shared" si="387"/>
        <v>241010</v>
      </c>
      <c r="Q218" s="156">
        <f t="shared" si="387"/>
        <v>185631</v>
      </c>
      <c r="R218" s="155">
        <f t="shared" ref="R218:S218" si="388">+R217+R216</f>
        <v>171997</v>
      </c>
      <c r="S218" s="140">
        <f t="shared" si="388"/>
        <v>102640</v>
      </c>
      <c r="T218" s="140">
        <f t="shared" ref="T218:U218" si="389">+T217+T216</f>
        <v>177717</v>
      </c>
      <c r="U218" s="140">
        <f t="shared" si="389"/>
        <v>204120.69999999998</v>
      </c>
      <c r="V218" s="139">
        <f t="shared" ref="V218:W218" si="390">+V217+V216</f>
        <v>193995.40000000002</v>
      </c>
      <c r="W218" s="140">
        <f t="shared" si="390"/>
        <v>210391</v>
      </c>
      <c r="X218" s="140">
        <f t="shared" ref="X218:AA218" si="391">+X217+X216</f>
        <v>226591.2</v>
      </c>
      <c r="Y218" s="141">
        <f t="shared" si="391"/>
        <v>195041</v>
      </c>
      <c r="Z218" s="139">
        <f t="shared" si="391"/>
        <v>179794</v>
      </c>
      <c r="AA218" s="140">
        <f t="shared" si="391"/>
        <v>180815</v>
      </c>
      <c r="AB218" s="140">
        <f t="shared" ref="AB218:AE218" si="392">+AB217+AB216</f>
        <v>180316</v>
      </c>
      <c r="AC218" s="141">
        <f t="shared" si="392"/>
        <v>195336</v>
      </c>
      <c r="AD218" s="139">
        <f t="shared" si="392"/>
        <v>175530</v>
      </c>
      <c r="AE218" s="140">
        <f t="shared" si="392"/>
        <v>192545</v>
      </c>
      <c r="AF218" s="140">
        <f t="shared" ref="AF218:AI218" si="393">+AF217+AF216</f>
        <v>203009</v>
      </c>
      <c r="AG218" s="141">
        <f t="shared" si="393"/>
        <v>185468</v>
      </c>
      <c r="AH218" s="139">
        <f t="shared" si="393"/>
        <v>174892</v>
      </c>
      <c r="AI218" s="140">
        <f t="shared" si="393"/>
        <v>187943</v>
      </c>
      <c r="AJ218" s="140">
        <f t="shared" ref="AJ218:AO218" si="394">+AJ217+AJ216</f>
        <v>210972</v>
      </c>
      <c r="AK218" s="141">
        <f t="shared" si="394"/>
        <v>201902</v>
      </c>
      <c r="AL218" s="139">
        <f t="shared" si="394"/>
        <v>158099</v>
      </c>
      <c r="AM218" s="140">
        <f t="shared" si="394"/>
        <v>182084</v>
      </c>
      <c r="AN218" s="140">
        <f t="shared" si="394"/>
        <v>205832</v>
      </c>
      <c r="AO218" s="141">
        <f t="shared" si="394"/>
        <v>180018</v>
      </c>
      <c r="AP218" s="139">
        <f t="shared" ref="AP218:AS218" si="395">+AP217+AP216</f>
        <v>172105</v>
      </c>
      <c r="AQ218" s="140">
        <f t="shared" si="395"/>
        <v>178589</v>
      </c>
      <c r="AR218" s="140">
        <f t="shared" si="395"/>
        <v>0</v>
      </c>
      <c r="AS218" s="141">
        <f t="shared" si="395"/>
        <v>0</v>
      </c>
      <c r="AT218" s="347"/>
      <c r="AU218" s="347"/>
      <c r="AV218" s="347"/>
      <c r="AW218" s="347"/>
      <c r="AX218" s="347"/>
      <c r="AY218" s="347"/>
      <c r="AZ218" s="347"/>
      <c r="BA218" s="347"/>
      <c r="BB218" s="347"/>
      <c r="BC218" s="347"/>
      <c r="BD218" s="347"/>
      <c r="BE218" s="347"/>
      <c r="BF218" s="347"/>
      <c r="BG218" s="347"/>
    </row>
    <row r="219" spans="1:59" s="208" customFormat="1" ht="17.25" x14ac:dyDescent="0.25">
      <c r="A219" s="225"/>
      <c r="B219" s="292" t="s">
        <v>191</v>
      </c>
      <c r="C219" s="213"/>
      <c r="E219" s="227"/>
      <c r="F219" s="225"/>
      <c r="I219" s="227"/>
      <c r="J219" s="225"/>
      <c r="L219" s="243"/>
      <c r="N219" s="225"/>
      <c r="P219" s="253"/>
      <c r="Q219" s="242"/>
      <c r="R219" s="226"/>
      <c r="S219" s="253"/>
      <c r="T219" s="253"/>
      <c r="U219" s="253"/>
      <c r="V219" s="226"/>
      <c r="W219" s="253"/>
      <c r="X219" s="253"/>
      <c r="Y219" s="352"/>
      <c r="Z219" s="226"/>
      <c r="AA219" s="253"/>
      <c r="AB219" s="253"/>
      <c r="AC219" s="352"/>
      <c r="AD219" s="226"/>
      <c r="AE219" s="253"/>
      <c r="AF219" s="253"/>
      <c r="AG219" s="352"/>
      <c r="AH219" s="226"/>
      <c r="AI219" s="253"/>
      <c r="AJ219" s="253"/>
      <c r="AK219" s="352"/>
      <c r="AL219" s="226"/>
      <c r="AM219" s="253"/>
      <c r="AN219" s="253"/>
      <c r="AO219" s="352"/>
      <c r="AP219" s="226"/>
      <c r="AQ219" s="253"/>
      <c r="AR219" s="253"/>
      <c r="AS219" s="352"/>
    </row>
    <row r="220" spans="1:59" s="208" customFormat="1" x14ac:dyDescent="0.25">
      <c r="A220" s="225"/>
      <c r="B220" s="227" t="s">
        <v>52</v>
      </c>
      <c r="C220" s="213"/>
      <c r="D220" s="249"/>
      <c r="E220" s="291"/>
      <c r="F220" s="262"/>
      <c r="G220" s="249"/>
      <c r="H220" s="249"/>
      <c r="I220" s="291"/>
      <c r="J220" s="213"/>
      <c r="K220" s="214"/>
      <c r="L220" s="214"/>
      <c r="M220" s="214"/>
      <c r="N220" s="213"/>
      <c r="O220" s="214"/>
      <c r="P220" s="242"/>
      <c r="Q220" s="242"/>
      <c r="R220" s="211"/>
      <c r="S220" s="242"/>
      <c r="T220" s="242"/>
      <c r="U220" s="242"/>
      <c r="V220" s="211"/>
      <c r="W220" s="242"/>
      <c r="X220" s="242"/>
      <c r="Y220" s="407"/>
      <c r="Z220" s="211"/>
      <c r="AA220" s="242"/>
      <c r="AB220" s="242"/>
      <c r="AC220" s="407"/>
      <c r="AD220" s="211"/>
      <c r="AE220" s="242"/>
      <c r="AF220" s="242"/>
      <c r="AG220" s="407"/>
      <c r="AH220" s="211"/>
      <c r="AI220" s="242"/>
      <c r="AJ220" s="242"/>
      <c r="AK220" s="407"/>
      <c r="AL220" s="211"/>
      <c r="AM220" s="242"/>
      <c r="AN220" s="242"/>
      <c r="AO220" s="407"/>
      <c r="AP220" s="211"/>
      <c r="AQ220" s="242"/>
      <c r="AR220" s="242"/>
      <c r="AS220" s="407"/>
    </row>
    <row r="221" spans="1:59" s="208" customFormat="1" x14ac:dyDescent="0.25">
      <c r="A221" s="225"/>
      <c r="B221" s="227" t="s">
        <v>53</v>
      </c>
      <c r="C221" s="213"/>
      <c r="D221" s="249"/>
      <c r="E221" s="291"/>
      <c r="F221" s="262"/>
      <c r="G221" s="249"/>
      <c r="H221" s="249"/>
      <c r="I221" s="291"/>
      <c r="J221" s="213"/>
      <c r="K221" s="214"/>
      <c r="L221" s="214"/>
      <c r="M221" s="214"/>
      <c r="N221" s="213"/>
      <c r="O221" s="214"/>
      <c r="P221" s="242"/>
      <c r="Q221" s="464"/>
      <c r="R221" s="211"/>
      <c r="S221" s="242"/>
      <c r="T221" s="242"/>
      <c r="U221" s="242"/>
      <c r="V221" s="211"/>
      <c r="W221" s="242"/>
      <c r="X221" s="242"/>
      <c r="Y221" s="407"/>
      <c r="Z221" s="211"/>
      <c r="AA221" s="242"/>
      <c r="AB221" s="242"/>
      <c r="AC221" s="407"/>
      <c r="AD221" s="211"/>
      <c r="AE221" s="242"/>
      <c r="AF221" s="242"/>
      <c r="AG221" s="407"/>
      <c r="AH221" s="211"/>
      <c r="AI221" s="242"/>
      <c r="AJ221" s="242"/>
      <c r="AK221" s="407"/>
      <c r="AL221" s="211"/>
      <c r="AM221" s="242"/>
      <c r="AN221" s="242"/>
      <c r="AO221" s="407"/>
      <c r="AP221" s="211"/>
      <c r="AQ221" s="242"/>
      <c r="AR221" s="242"/>
      <c r="AS221" s="407"/>
    </row>
    <row r="222" spans="1:59" s="1" customFormat="1" x14ac:dyDescent="0.25">
      <c r="A222" s="306"/>
      <c r="B222" s="290" t="s">
        <v>54</v>
      </c>
      <c r="C222" s="139"/>
      <c r="D222" s="140"/>
      <c r="E222" s="141"/>
      <c r="F222" s="139"/>
      <c r="G222" s="140"/>
      <c r="H222" s="140"/>
      <c r="I222" s="141"/>
      <c r="J222" s="139"/>
      <c r="K222" s="140"/>
      <c r="L222" s="140"/>
      <c r="M222" s="140"/>
      <c r="N222" s="139"/>
      <c r="O222" s="140">
        <v>1381</v>
      </c>
      <c r="P222" s="156">
        <v>1250</v>
      </c>
      <c r="Q222" s="156">
        <v>1283</v>
      </c>
      <c r="R222" s="155">
        <v>1133</v>
      </c>
      <c r="S222" s="156">
        <v>1701</v>
      </c>
      <c r="T222" s="156">
        <v>1634</v>
      </c>
      <c r="U222" s="156">
        <v>1191</v>
      </c>
      <c r="V222" s="155">
        <v>1287</v>
      </c>
      <c r="W222" s="156">
        <v>1275</v>
      </c>
      <c r="X222" s="156">
        <v>1233</v>
      </c>
      <c r="Y222" s="157">
        <v>1305</v>
      </c>
      <c r="Z222" s="155">
        <v>1277</v>
      </c>
      <c r="AA222" s="156">
        <v>1374</v>
      </c>
      <c r="AB222" s="156">
        <v>1459</v>
      </c>
      <c r="AC222" s="157">
        <v>1366</v>
      </c>
      <c r="AD222" s="155">
        <v>1589</v>
      </c>
      <c r="AE222" s="156">
        <v>1560</v>
      </c>
      <c r="AF222" s="156">
        <v>1654</v>
      </c>
      <c r="AG222" s="157">
        <v>1530</v>
      </c>
      <c r="AH222" s="155">
        <v>1752</v>
      </c>
      <c r="AI222" s="156">
        <v>1542</v>
      </c>
      <c r="AJ222" s="156">
        <v>1616</v>
      </c>
      <c r="AK222" s="157">
        <v>1653</v>
      </c>
      <c r="AL222" s="155">
        <v>1895</v>
      </c>
      <c r="AM222" s="156">
        <v>1740</v>
      </c>
      <c r="AN222" s="156">
        <v>1684</v>
      </c>
      <c r="AO222" s="157">
        <v>2091</v>
      </c>
      <c r="AP222" s="155">
        <v>1882</v>
      </c>
      <c r="AQ222" s="156">
        <v>2028</v>
      </c>
      <c r="AR222" s="156"/>
      <c r="AS222" s="157"/>
      <c r="AT222" s="347"/>
      <c r="AU222" s="347"/>
      <c r="AV222" s="347"/>
      <c r="AW222" s="347"/>
      <c r="AX222" s="347"/>
      <c r="AY222" s="347"/>
      <c r="AZ222" s="347"/>
      <c r="BA222" s="347"/>
      <c r="BB222" s="347"/>
      <c r="BC222" s="347"/>
      <c r="BD222" s="347"/>
      <c r="BE222" s="347"/>
      <c r="BF222" s="347"/>
      <c r="BG222" s="347"/>
    </row>
    <row r="223" spans="1:59" s="208" customFormat="1" x14ac:dyDescent="0.25">
      <c r="A223" s="225"/>
      <c r="B223" s="227"/>
      <c r="C223" s="225"/>
      <c r="E223" s="227"/>
      <c r="F223" s="225"/>
      <c r="I223" s="227"/>
      <c r="J223" s="225"/>
      <c r="N223" s="225"/>
      <c r="R223" s="225"/>
      <c r="V223" s="225"/>
      <c r="Y223" s="227"/>
      <c r="Z223" s="225"/>
      <c r="AC223" s="227"/>
      <c r="AD223" s="225"/>
      <c r="AG223" s="227"/>
      <c r="AH223" s="225"/>
      <c r="AK223" s="227"/>
      <c r="AL223" s="225"/>
      <c r="AO223" s="227"/>
      <c r="AP223" s="225"/>
      <c r="AS223" s="227"/>
    </row>
    <row r="224" spans="1:59" s="208" customFormat="1" ht="15.75" x14ac:dyDescent="0.25">
      <c r="A224" s="225"/>
      <c r="B224" s="328"/>
      <c r="C224" s="213"/>
      <c r="E224" s="227"/>
      <c r="F224" s="225"/>
      <c r="I224" s="227"/>
      <c r="J224" s="225"/>
      <c r="N224" s="225"/>
      <c r="R224" s="225"/>
      <c r="V224" s="225"/>
      <c r="Y224" s="227"/>
      <c r="Z224" s="225"/>
      <c r="AC224" s="227"/>
      <c r="AD224" s="225"/>
      <c r="AG224" s="227"/>
      <c r="AH224" s="225"/>
      <c r="AK224" s="227"/>
      <c r="AL224" s="225"/>
      <c r="AO224" s="227"/>
      <c r="AP224" s="225"/>
      <c r="AS224" s="227"/>
    </row>
    <row r="225" spans="1:59" s="208" customFormat="1" x14ac:dyDescent="0.25">
      <c r="A225" s="225"/>
      <c r="B225" s="292" t="s">
        <v>135</v>
      </c>
      <c r="C225" s="213"/>
      <c r="E225" s="227"/>
      <c r="F225" s="569"/>
      <c r="I225" s="227"/>
      <c r="J225" s="225"/>
      <c r="N225" s="225"/>
      <c r="R225" s="225"/>
      <c r="V225" s="225"/>
      <c r="Y225" s="227"/>
      <c r="Z225" s="225"/>
      <c r="AC225" s="227"/>
      <c r="AD225" s="225"/>
      <c r="AG225" s="227"/>
      <c r="AH225" s="225"/>
      <c r="AK225" s="227"/>
      <c r="AL225" s="225"/>
      <c r="AO225" s="227"/>
      <c r="AP225" s="225"/>
      <c r="AS225" s="227"/>
    </row>
    <row r="226" spans="1:59" s="208" customFormat="1" x14ac:dyDescent="0.25">
      <c r="A226" s="225"/>
      <c r="B226" s="250" t="s">
        <v>66</v>
      </c>
      <c r="C226" s="210"/>
      <c r="E226" s="227"/>
      <c r="F226" s="569"/>
      <c r="I226" s="227"/>
      <c r="J226" s="274"/>
      <c r="K226" s="275"/>
      <c r="L226" s="275"/>
      <c r="M226" s="243"/>
      <c r="N226" s="288"/>
      <c r="O226" s="372">
        <v>1369.2</v>
      </c>
      <c r="P226" s="275">
        <v>6232.7</v>
      </c>
      <c r="Q226" s="275">
        <v>3585.9</v>
      </c>
      <c r="R226" s="211">
        <v>7608</v>
      </c>
      <c r="S226" s="242">
        <v>3327</v>
      </c>
      <c r="T226" s="242">
        <v>7430</v>
      </c>
      <c r="U226" s="407">
        <v>8500</v>
      </c>
      <c r="V226" s="211">
        <v>10137</v>
      </c>
      <c r="W226" s="242">
        <v>12222</v>
      </c>
      <c r="X226" s="242">
        <v>9913</v>
      </c>
      <c r="Y226" s="407">
        <v>9339</v>
      </c>
      <c r="Z226" s="242">
        <v>10013</v>
      </c>
      <c r="AA226" s="242">
        <v>8311</v>
      </c>
      <c r="AB226" s="242">
        <v>7530</v>
      </c>
      <c r="AC226" s="407">
        <v>6899</v>
      </c>
      <c r="AD226" s="242">
        <v>8007</v>
      </c>
      <c r="AE226" s="242">
        <v>7447</v>
      </c>
      <c r="AF226" s="242">
        <v>5640</v>
      </c>
      <c r="AG226" s="407">
        <v>6189</v>
      </c>
      <c r="AH226" s="242">
        <v>6736</v>
      </c>
      <c r="AI226" s="242">
        <v>5947</v>
      </c>
      <c r="AJ226" s="242">
        <v>5788</v>
      </c>
      <c r="AK226" s="407">
        <v>6841</v>
      </c>
      <c r="AL226" s="242">
        <v>5636</v>
      </c>
      <c r="AM226" s="242">
        <v>6209</v>
      </c>
      <c r="AN226" s="242">
        <v>7916</v>
      </c>
      <c r="AO226" s="407">
        <v>8581</v>
      </c>
      <c r="AP226" s="242">
        <v>10689</v>
      </c>
      <c r="AQ226" s="242">
        <v>9462</v>
      </c>
      <c r="AR226" s="242"/>
      <c r="AS226" s="407"/>
    </row>
    <row r="227" spans="1:59" s="208" customFormat="1" x14ac:dyDescent="0.25">
      <c r="A227" s="225"/>
      <c r="B227" s="250" t="s">
        <v>132</v>
      </c>
      <c r="C227" s="276"/>
      <c r="D227" s="244"/>
      <c r="E227" s="315"/>
      <c r="F227" s="570"/>
      <c r="G227" s="244"/>
      <c r="H227" s="244"/>
      <c r="I227" s="315"/>
      <c r="J227" s="276"/>
      <c r="K227" s="244"/>
      <c r="L227" s="244"/>
      <c r="M227" s="244"/>
      <c r="N227" s="276"/>
      <c r="O227" s="244">
        <v>-1220.2</v>
      </c>
      <c r="P227" s="244">
        <v>-5241.8</v>
      </c>
      <c r="Q227" s="244">
        <v>-1977.9</v>
      </c>
      <c r="R227" s="361">
        <v>-4119</v>
      </c>
      <c r="S227" s="417">
        <v>-2699</v>
      </c>
      <c r="T227" s="417">
        <v>-3425</v>
      </c>
      <c r="U227" s="431">
        <v>-2990</v>
      </c>
      <c r="V227" s="361">
        <v>-3845</v>
      </c>
      <c r="W227" s="417">
        <v>-4388</v>
      </c>
      <c r="X227" s="417">
        <v>-4077</v>
      </c>
      <c r="Y227" s="431">
        <v>-4251</v>
      </c>
      <c r="Z227" s="417">
        <v>-4709</v>
      </c>
      <c r="AA227" s="417">
        <v>-3364</v>
      </c>
      <c r="AB227" s="417">
        <v>-3758</v>
      </c>
      <c r="AC227" s="431">
        <v>-2772</v>
      </c>
      <c r="AD227" s="417">
        <v>-3938</v>
      </c>
      <c r="AE227" s="417">
        <v>-4875</v>
      </c>
      <c r="AF227" s="417">
        <v>-4275</v>
      </c>
      <c r="AG227" s="431">
        <v>-3873</v>
      </c>
      <c r="AH227" s="417">
        <v>-6005</v>
      </c>
      <c r="AI227" s="417">
        <v>-3903</v>
      </c>
      <c r="AJ227" s="417">
        <v>-4839</v>
      </c>
      <c r="AK227" s="431">
        <v>-6165</v>
      </c>
      <c r="AL227" s="417">
        <v>-3615</v>
      </c>
      <c r="AM227" s="417">
        <v>-5366</v>
      </c>
      <c r="AN227" s="417">
        <v>-5257</v>
      </c>
      <c r="AO227" s="431">
        <v>-6131</v>
      </c>
      <c r="AP227" s="417">
        <v>-4519</v>
      </c>
      <c r="AQ227" s="417">
        <v>-5803</v>
      </c>
      <c r="AR227" s="417"/>
      <c r="AS227" s="431"/>
    </row>
    <row r="228" spans="1:59" s="208" customFormat="1" x14ac:dyDescent="0.25">
      <c r="A228" s="225"/>
      <c r="B228" s="250"/>
      <c r="C228" s="210">
        <f t="shared" ref="C228:Q228" si="396">+C227+C226</f>
        <v>0</v>
      </c>
      <c r="D228" s="221">
        <f t="shared" si="396"/>
        <v>0</v>
      </c>
      <c r="E228" s="222">
        <f t="shared" si="396"/>
        <v>0</v>
      </c>
      <c r="F228" s="571">
        <f t="shared" si="396"/>
        <v>0</v>
      </c>
      <c r="G228" s="221">
        <f t="shared" si="396"/>
        <v>0</v>
      </c>
      <c r="H228" s="221">
        <f t="shared" si="396"/>
        <v>0</v>
      </c>
      <c r="I228" s="222">
        <f t="shared" si="396"/>
        <v>0</v>
      </c>
      <c r="J228" s="210">
        <f t="shared" si="396"/>
        <v>0</v>
      </c>
      <c r="K228" s="221">
        <f t="shared" si="396"/>
        <v>0</v>
      </c>
      <c r="L228" s="221">
        <f t="shared" si="396"/>
        <v>0</v>
      </c>
      <c r="M228" s="221">
        <f t="shared" si="396"/>
        <v>0</v>
      </c>
      <c r="N228" s="210">
        <f t="shared" si="396"/>
        <v>0</v>
      </c>
      <c r="O228" s="221">
        <f t="shared" si="396"/>
        <v>149</v>
      </c>
      <c r="P228" s="221">
        <f t="shared" si="396"/>
        <v>990.89999999999964</v>
      </c>
      <c r="Q228" s="221">
        <f t="shared" si="396"/>
        <v>1608</v>
      </c>
      <c r="R228" s="425">
        <f t="shared" ref="R228:S228" si="397">+R227+R226</f>
        <v>3489</v>
      </c>
      <c r="S228" s="359">
        <f t="shared" si="397"/>
        <v>628</v>
      </c>
      <c r="T228" s="426">
        <f t="shared" ref="T228:U228" si="398">+T227+T226</f>
        <v>4005</v>
      </c>
      <c r="U228" s="432">
        <f t="shared" si="398"/>
        <v>5510</v>
      </c>
      <c r="V228" s="425">
        <f t="shared" ref="V228:W228" si="399">+V227+V226</f>
        <v>6292</v>
      </c>
      <c r="W228" s="426">
        <f t="shared" si="399"/>
        <v>7834</v>
      </c>
      <c r="X228" s="426">
        <f t="shared" ref="X228:AA228" si="400">+X227+X226</f>
        <v>5836</v>
      </c>
      <c r="Y228" s="432">
        <f t="shared" si="400"/>
        <v>5088</v>
      </c>
      <c r="Z228" s="426">
        <f t="shared" si="400"/>
        <v>5304</v>
      </c>
      <c r="AA228" s="426">
        <f t="shared" si="400"/>
        <v>4947</v>
      </c>
      <c r="AB228" s="426">
        <f t="shared" ref="AB228:AE228" si="401">+AB227+AB226</f>
        <v>3772</v>
      </c>
      <c r="AC228" s="432">
        <f t="shared" si="401"/>
        <v>4127</v>
      </c>
      <c r="AD228" s="426">
        <f t="shared" si="401"/>
        <v>4069</v>
      </c>
      <c r="AE228" s="426">
        <f t="shared" si="401"/>
        <v>2572</v>
      </c>
      <c r="AF228" s="426">
        <f t="shared" ref="AF228:AI228" si="402">+AF227+AF226</f>
        <v>1365</v>
      </c>
      <c r="AG228" s="432">
        <f t="shared" si="402"/>
        <v>2316</v>
      </c>
      <c r="AH228" s="426">
        <f t="shared" si="402"/>
        <v>731</v>
      </c>
      <c r="AI228" s="426">
        <f t="shared" si="402"/>
        <v>2044</v>
      </c>
      <c r="AJ228" s="426">
        <f t="shared" ref="AJ228:AO228" si="403">+AJ227+AJ226</f>
        <v>949</v>
      </c>
      <c r="AK228" s="432">
        <f t="shared" si="403"/>
        <v>676</v>
      </c>
      <c r="AL228" s="426">
        <f t="shared" si="403"/>
        <v>2021</v>
      </c>
      <c r="AM228" s="426">
        <f t="shared" si="403"/>
        <v>843</v>
      </c>
      <c r="AN228" s="426">
        <f t="shared" si="403"/>
        <v>2659</v>
      </c>
      <c r="AO228" s="432">
        <f t="shared" si="403"/>
        <v>2450</v>
      </c>
      <c r="AP228" s="426">
        <f t="shared" ref="AP228:AS228" si="404">+AP227+AP226</f>
        <v>6170</v>
      </c>
      <c r="AQ228" s="426">
        <f t="shared" si="404"/>
        <v>3659</v>
      </c>
      <c r="AR228" s="426">
        <f t="shared" si="404"/>
        <v>0</v>
      </c>
      <c r="AS228" s="432">
        <f t="shared" si="404"/>
        <v>0</v>
      </c>
    </row>
    <row r="229" spans="1:59" s="208" customFormat="1" x14ac:dyDescent="0.25">
      <c r="A229" s="225"/>
      <c r="B229" s="250" t="s">
        <v>67</v>
      </c>
      <c r="C229" s="210"/>
      <c r="D229" s="221"/>
      <c r="E229" s="222"/>
      <c r="F229" s="571"/>
      <c r="G229" s="221"/>
      <c r="H229" s="221"/>
      <c r="I229" s="222"/>
      <c r="J229" s="210"/>
      <c r="K229" s="221"/>
      <c r="L229" s="221"/>
      <c r="M229" s="221"/>
      <c r="N229" s="210"/>
      <c r="O229" s="221">
        <v>-22.2</v>
      </c>
      <c r="P229" s="221">
        <v>-128.30000000000001</v>
      </c>
      <c r="Q229" s="221">
        <v>-349.9</v>
      </c>
      <c r="R229" s="213">
        <v>-227</v>
      </c>
      <c r="S229" s="214">
        <v>-131</v>
      </c>
      <c r="T229" s="214">
        <v>-201</v>
      </c>
      <c r="U229" s="259">
        <v>-259</v>
      </c>
      <c r="V229" s="213">
        <v>-236</v>
      </c>
      <c r="W229" s="214">
        <v>-268</v>
      </c>
      <c r="X229" s="214">
        <v>-299</v>
      </c>
      <c r="Y229" s="259">
        <v>-296</v>
      </c>
      <c r="Z229" s="214">
        <v>-282</v>
      </c>
      <c r="AA229" s="214">
        <v>-295</v>
      </c>
      <c r="AB229" s="214">
        <v>-309</v>
      </c>
      <c r="AC229" s="259">
        <v>-318</v>
      </c>
      <c r="AD229" s="214">
        <v>-329</v>
      </c>
      <c r="AE229" s="214">
        <v>-367</v>
      </c>
      <c r="AF229" s="214">
        <v>-410</v>
      </c>
      <c r="AG229" s="259">
        <v>-430</v>
      </c>
      <c r="AH229" s="214">
        <v>-412</v>
      </c>
      <c r="AI229" s="214">
        <v>-452</v>
      </c>
      <c r="AJ229" s="214">
        <v>-510</v>
      </c>
      <c r="AK229" s="259">
        <v>-510</v>
      </c>
      <c r="AL229" s="214">
        <v>-459</v>
      </c>
      <c r="AM229" s="214">
        <v>-509</v>
      </c>
      <c r="AN229" s="214">
        <v>-578</v>
      </c>
      <c r="AO229" s="259">
        <v>-553</v>
      </c>
      <c r="AP229" s="214">
        <v>-536</v>
      </c>
      <c r="AQ229" s="214">
        <v>-559</v>
      </c>
      <c r="AR229" s="214"/>
      <c r="AS229" s="259"/>
    </row>
    <row r="230" spans="1:59" s="208" customFormat="1" x14ac:dyDescent="0.25">
      <c r="A230" s="225"/>
      <c r="B230" s="250" t="s">
        <v>68</v>
      </c>
      <c r="C230" s="210"/>
      <c r="D230" s="221"/>
      <c r="E230" s="222"/>
      <c r="F230" s="571"/>
      <c r="H230" s="221"/>
      <c r="I230" s="222"/>
      <c r="J230" s="210"/>
      <c r="K230" s="221"/>
      <c r="L230" s="221"/>
      <c r="M230" s="221"/>
      <c r="N230" s="210"/>
      <c r="O230" s="221">
        <f>39.5-105.1+831.3</f>
        <v>765.69999999999993</v>
      </c>
      <c r="P230" s="221">
        <f>9.5-116.9-218.1</f>
        <v>-325.5</v>
      </c>
      <c r="Q230" s="221">
        <f>-325.2-54.2-400.5</f>
        <v>-779.9</v>
      </c>
      <c r="R230" s="213">
        <v>-215</v>
      </c>
      <c r="S230" s="214">
        <v>185</v>
      </c>
      <c r="T230" s="214">
        <v>-406</v>
      </c>
      <c r="U230" s="259">
        <v>1210</v>
      </c>
      <c r="V230" s="213">
        <v>-341</v>
      </c>
      <c r="W230" s="214">
        <v>-646</v>
      </c>
      <c r="X230" s="214">
        <v>-426</v>
      </c>
      <c r="Y230" s="259">
        <v>-885</v>
      </c>
      <c r="Z230" s="214">
        <v>-303</v>
      </c>
      <c r="AA230" s="214">
        <v>-57</v>
      </c>
      <c r="AB230" s="214">
        <v>-784</v>
      </c>
      <c r="AC230" s="259">
        <v>-1309</v>
      </c>
      <c r="AD230" s="214">
        <v>-213</v>
      </c>
      <c r="AE230" s="214">
        <v>1683</v>
      </c>
      <c r="AF230" s="214">
        <v>-154</v>
      </c>
      <c r="AG230" s="259">
        <v>1511</v>
      </c>
      <c r="AH230" s="214">
        <v>-250</v>
      </c>
      <c r="AI230" s="214">
        <v>-217</v>
      </c>
      <c r="AJ230" s="214">
        <v>-2</v>
      </c>
      <c r="AK230" s="259">
        <v>730</v>
      </c>
      <c r="AL230" s="214">
        <v>-221</v>
      </c>
      <c r="AM230" s="214">
        <v>-258</v>
      </c>
      <c r="AN230" s="214">
        <v>-331</v>
      </c>
      <c r="AO230" s="259">
        <v>-500</v>
      </c>
      <c r="AP230" s="214">
        <v>-226</v>
      </c>
      <c r="AQ230" s="214">
        <v>-253</v>
      </c>
      <c r="AR230" s="214"/>
      <c r="AS230" s="259"/>
    </row>
    <row r="231" spans="1:59" s="208" customFormat="1" x14ac:dyDescent="0.25">
      <c r="A231" s="225"/>
      <c r="B231" s="250" t="s">
        <v>179</v>
      </c>
      <c r="C231" s="210"/>
      <c r="D231" s="221"/>
      <c r="E231" s="222"/>
      <c r="F231" s="571"/>
      <c r="G231" s="221"/>
      <c r="H231" s="221"/>
      <c r="I231" s="222"/>
      <c r="J231" s="210"/>
      <c r="K231" s="221"/>
      <c r="L231" s="221"/>
      <c r="M231" s="221"/>
      <c r="N231" s="210"/>
      <c r="O231" s="221">
        <v>-7.3</v>
      </c>
      <c r="P231" s="221">
        <v>-36</v>
      </c>
      <c r="Q231" s="221">
        <f>-10.7-0.5</f>
        <v>-11.2</v>
      </c>
      <c r="R231" s="213">
        <v>-39</v>
      </c>
      <c r="S231" s="214">
        <v>-22</v>
      </c>
      <c r="T231" s="214">
        <v>-115</v>
      </c>
      <c r="U231" s="259">
        <v>-516</v>
      </c>
      <c r="V231" s="213">
        <v>-386</v>
      </c>
      <c r="W231" s="214">
        <v>-286</v>
      </c>
      <c r="X231" s="214">
        <v>-301</v>
      </c>
      <c r="Y231" s="259">
        <v>-157</v>
      </c>
      <c r="Z231" s="214">
        <v>-270</v>
      </c>
      <c r="AA231" s="214">
        <v>-220</v>
      </c>
      <c r="AB231" s="214">
        <v>-112</v>
      </c>
      <c r="AC231" s="259">
        <v>-134</v>
      </c>
      <c r="AD231" s="214">
        <v>-196</v>
      </c>
      <c r="AE231" s="214">
        <v>-82</v>
      </c>
      <c r="AF231" s="214">
        <v>-12</v>
      </c>
      <c r="AG231" s="259">
        <v>-150</v>
      </c>
      <c r="AH231" s="214">
        <v>-30</v>
      </c>
      <c r="AI231" s="214">
        <v>-27</v>
      </c>
      <c r="AJ231" s="214">
        <v>-27</v>
      </c>
      <c r="AK231" s="259">
        <v>-33</v>
      </c>
      <c r="AL231" s="214">
        <v>-27</v>
      </c>
      <c r="AM231" s="214">
        <v>-5</v>
      </c>
      <c r="AN231" s="214">
        <v>-39</v>
      </c>
      <c r="AO231" s="259">
        <v>-42</v>
      </c>
      <c r="AP231" s="214">
        <v>-207</v>
      </c>
      <c r="AQ231" s="214">
        <v>-179</v>
      </c>
      <c r="AR231" s="214"/>
      <c r="AS231" s="259"/>
    </row>
    <row r="232" spans="1:59" s="208" customFormat="1" x14ac:dyDescent="0.25">
      <c r="A232" s="225"/>
      <c r="B232" s="250" t="s">
        <v>69</v>
      </c>
      <c r="C232" s="210"/>
      <c r="D232" s="221"/>
      <c r="E232" s="222"/>
      <c r="F232" s="570"/>
      <c r="G232" s="221"/>
      <c r="H232" s="221"/>
      <c r="I232" s="222"/>
      <c r="J232" s="210"/>
      <c r="K232" s="221"/>
      <c r="L232" s="221"/>
      <c r="M232" s="221"/>
      <c r="N232" s="210"/>
      <c r="O232" s="221">
        <v>-38</v>
      </c>
      <c r="P232" s="221">
        <v>55.1</v>
      </c>
      <c r="Q232" s="221">
        <v>-3.8</v>
      </c>
      <c r="R232" s="213">
        <v>-3</v>
      </c>
      <c r="S232" s="214">
        <v>101</v>
      </c>
      <c r="T232" s="214">
        <v>-18</v>
      </c>
      <c r="U232" s="431">
        <v>964</v>
      </c>
      <c r="V232" s="361">
        <v>-1500</v>
      </c>
      <c r="W232" s="214">
        <v>-2116</v>
      </c>
      <c r="X232" s="214">
        <v>-1391</v>
      </c>
      <c r="Y232" s="259">
        <v>-1220</v>
      </c>
      <c r="Z232" s="214">
        <v>-1276</v>
      </c>
      <c r="AA232" s="214">
        <v>-1332</v>
      </c>
      <c r="AB232" s="214">
        <v>-821</v>
      </c>
      <c r="AC232" s="259">
        <v>-1029</v>
      </c>
      <c r="AD232" s="214">
        <v>-962</v>
      </c>
      <c r="AE232" s="214">
        <v>-689</v>
      </c>
      <c r="AF232" s="214">
        <v>-258</v>
      </c>
      <c r="AG232" s="259">
        <v>-251</v>
      </c>
      <c r="AH232" s="214">
        <v>-58</v>
      </c>
      <c r="AI232" s="214">
        <v>-354</v>
      </c>
      <c r="AJ232" s="214">
        <v>-147</v>
      </c>
      <c r="AK232" s="259">
        <v>103</v>
      </c>
      <c r="AL232" s="214">
        <v>-411</v>
      </c>
      <c r="AM232" s="214">
        <v>-43</v>
      </c>
      <c r="AN232" s="214">
        <v>-540</v>
      </c>
      <c r="AO232" s="259">
        <v>-415</v>
      </c>
      <c r="AP232" s="214">
        <v>-1450</v>
      </c>
      <c r="AQ232" s="214">
        <v>-787</v>
      </c>
      <c r="AR232" s="214"/>
      <c r="AS232" s="259"/>
    </row>
    <row r="233" spans="1:59" s="1" customFormat="1" ht="15.75" thickBot="1" x14ac:dyDescent="0.3">
      <c r="A233" s="306"/>
      <c r="B233" s="303" t="s">
        <v>70</v>
      </c>
      <c r="C233" s="145">
        <f>SUM(C228:C232)</f>
        <v>0</v>
      </c>
      <c r="D233" s="146">
        <f>SUM(D228:D232)</f>
        <v>0</v>
      </c>
      <c r="E233" s="147">
        <f t="shared" ref="E233:N233" si="405">SUM(E228:E232)</f>
        <v>0</v>
      </c>
      <c r="F233" s="145">
        <f t="shared" si="405"/>
        <v>0</v>
      </c>
      <c r="G233" s="146">
        <f t="shared" si="405"/>
        <v>0</v>
      </c>
      <c r="H233" s="146">
        <f t="shared" si="405"/>
        <v>0</v>
      </c>
      <c r="I233" s="147">
        <f t="shared" si="405"/>
        <v>0</v>
      </c>
      <c r="J233" s="145">
        <f t="shared" si="405"/>
        <v>0</v>
      </c>
      <c r="K233" s="146">
        <f t="shared" si="405"/>
        <v>0</v>
      </c>
      <c r="L233" s="146">
        <f t="shared" si="405"/>
        <v>0</v>
      </c>
      <c r="M233" s="146">
        <f t="shared" si="405"/>
        <v>0</v>
      </c>
      <c r="N233" s="145">
        <f t="shared" si="405"/>
        <v>0</v>
      </c>
      <c r="O233" s="146">
        <f t="shared" ref="O233:T233" si="406">SUM(O228:O232)</f>
        <v>847.19999999999993</v>
      </c>
      <c r="P233" s="146">
        <f t="shared" si="406"/>
        <v>556.1999999999997</v>
      </c>
      <c r="Q233" s="146">
        <f t="shared" si="406"/>
        <v>463.19999999999993</v>
      </c>
      <c r="R233" s="427">
        <f t="shared" si="406"/>
        <v>3005</v>
      </c>
      <c r="S233" s="441">
        <f t="shared" si="406"/>
        <v>761</v>
      </c>
      <c r="T233" s="428">
        <f t="shared" si="406"/>
        <v>3265</v>
      </c>
      <c r="U233" s="428">
        <f t="shared" ref="U233:W233" si="407">SUM(U228:U232)</f>
        <v>6909</v>
      </c>
      <c r="V233" s="427">
        <f t="shared" si="407"/>
        <v>3829</v>
      </c>
      <c r="W233" s="428">
        <f t="shared" si="407"/>
        <v>4518</v>
      </c>
      <c r="X233" s="428">
        <f t="shared" ref="X233:AA233" si="408">SUM(X228:X232)</f>
        <v>3419</v>
      </c>
      <c r="Y233" s="471">
        <f t="shared" si="408"/>
        <v>2530</v>
      </c>
      <c r="Z233" s="427">
        <f t="shared" si="408"/>
        <v>3173</v>
      </c>
      <c r="AA233" s="428">
        <f t="shared" si="408"/>
        <v>3043</v>
      </c>
      <c r="AB233" s="428">
        <f t="shared" ref="AB233:AE233" si="409">SUM(AB228:AB232)</f>
        <v>1746</v>
      </c>
      <c r="AC233" s="471">
        <f t="shared" si="409"/>
        <v>1337</v>
      </c>
      <c r="AD233" s="427">
        <f t="shared" si="409"/>
        <v>2369</v>
      </c>
      <c r="AE233" s="428">
        <f t="shared" si="409"/>
        <v>3117</v>
      </c>
      <c r="AF233" s="428">
        <f t="shared" ref="AF233:AI233" si="410">SUM(AF228:AF232)</f>
        <v>531</v>
      </c>
      <c r="AG233" s="471">
        <f t="shared" si="410"/>
        <v>2996</v>
      </c>
      <c r="AH233" s="554">
        <f t="shared" si="410"/>
        <v>-19</v>
      </c>
      <c r="AI233" s="428">
        <f t="shared" si="410"/>
        <v>994</v>
      </c>
      <c r="AJ233" s="428">
        <f t="shared" ref="AJ233:AO233" si="411">SUM(AJ228:AJ232)</f>
        <v>263</v>
      </c>
      <c r="AK233" s="471">
        <f t="shared" si="411"/>
        <v>966</v>
      </c>
      <c r="AL233" s="554">
        <f t="shared" si="411"/>
        <v>903</v>
      </c>
      <c r="AM233" s="428">
        <f t="shared" si="411"/>
        <v>28</v>
      </c>
      <c r="AN233" s="428">
        <f t="shared" si="411"/>
        <v>1171</v>
      </c>
      <c r="AO233" s="471">
        <f t="shared" si="411"/>
        <v>940</v>
      </c>
      <c r="AP233" s="554">
        <f t="shared" ref="AP233:AS233" si="412">SUM(AP228:AP232)</f>
        <v>3751</v>
      </c>
      <c r="AQ233" s="428">
        <f t="shared" si="412"/>
        <v>1881</v>
      </c>
      <c r="AR233" s="428">
        <f t="shared" si="412"/>
        <v>0</v>
      </c>
      <c r="AS233" s="471">
        <f t="shared" si="412"/>
        <v>0</v>
      </c>
      <c r="AT233" s="347"/>
      <c r="AU233" s="347"/>
      <c r="AV233" s="347"/>
      <c r="AW233" s="347"/>
      <c r="AX233" s="347"/>
      <c r="AY233" s="347"/>
      <c r="AZ233" s="347"/>
      <c r="BA233" s="347"/>
      <c r="BB233" s="347"/>
      <c r="BC233" s="347"/>
      <c r="BD233" s="347"/>
      <c r="BE233" s="347"/>
      <c r="BF233" s="347"/>
      <c r="BG233" s="347"/>
    </row>
    <row r="234" spans="1:59" ht="15.75" thickTop="1" x14ac:dyDescent="0.25">
      <c r="A234" s="225"/>
      <c r="B234" s="250"/>
      <c r="C234" s="208"/>
      <c r="D234" s="228"/>
      <c r="E234" s="227"/>
      <c r="F234" s="225"/>
      <c r="G234" s="208"/>
      <c r="H234" s="208"/>
      <c r="I234" s="227"/>
      <c r="J234" s="225"/>
      <c r="K234" s="208"/>
      <c r="L234" s="208"/>
      <c r="M234" s="208"/>
      <c r="N234" s="225"/>
      <c r="O234" s="251" t="s">
        <v>180</v>
      </c>
      <c r="P234" s="252"/>
      <c r="Q234" s="252"/>
      <c r="R234" s="266"/>
      <c r="S234" s="208"/>
      <c r="T234" s="208"/>
      <c r="U234" s="208"/>
      <c r="V234" s="225"/>
      <c r="W234" s="208"/>
      <c r="X234" s="208"/>
      <c r="Y234" s="227"/>
      <c r="Z234" s="225"/>
      <c r="AA234" s="208"/>
      <c r="AB234" s="208"/>
      <c r="AC234" s="227"/>
      <c r="AD234" s="225"/>
      <c r="AE234" s="208"/>
      <c r="AF234" s="208"/>
      <c r="AG234" s="227"/>
      <c r="AH234" s="225"/>
      <c r="AI234" s="208"/>
      <c r="AJ234" s="208"/>
      <c r="AK234" s="227"/>
      <c r="AL234" s="225"/>
      <c r="AM234" s="208"/>
      <c r="AN234" s="208"/>
      <c r="AO234" s="227"/>
      <c r="AP234" s="225"/>
      <c r="AQ234" s="208"/>
      <c r="AR234" s="208"/>
      <c r="AS234" s="227"/>
      <c r="AT234" s="673"/>
    </row>
    <row r="235" spans="1:59" ht="15" customHeight="1" x14ac:dyDescent="0.25">
      <c r="A235" s="225"/>
      <c r="B235" s="292" t="s">
        <v>134</v>
      </c>
      <c r="C235" s="34"/>
      <c r="E235" s="23"/>
      <c r="F235" s="284"/>
      <c r="G235" s="284"/>
      <c r="H235" s="285"/>
      <c r="I235" s="285"/>
      <c r="J235" s="286"/>
      <c r="K235" s="284"/>
      <c r="L235" s="285"/>
      <c r="M235" s="285"/>
      <c r="N235" s="287"/>
      <c r="O235" s="285"/>
      <c r="P235" s="208"/>
      <c r="Q235" s="208"/>
      <c r="R235" s="225"/>
      <c r="S235" s="208"/>
      <c r="T235" s="208"/>
      <c r="U235" s="208"/>
      <c r="V235" s="225"/>
      <c r="W235" s="208"/>
      <c r="X235" s="208"/>
      <c r="Y235" s="227"/>
      <c r="Z235" s="225"/>
      <c r="AA235" s="208"/>
      <c r="AB235" s="208"/>
      <c r="AC235" s="227"/>
      <c r="AD235" s="225"/>
      <c r="AE235" s="208"/>
      <c r="AF235" s="208"/>
      <c r="AG235" s="227"/>
      <c r="AH235" s="225"/>
      <c r="AI235" s="208"/>
      <c r="AJ235" s="208"/>
      <c r="AK235" s="227"/>
      <c r="AL235" s="225"/>
      <c r="AM235" s="208"/>
      <c r="AN235" s="208"/>
      <c r="AO235" s="227"/>
      <c r="AP235" s="225"/>
      <c r="AQ235" s="208"/>
      <c r="AR235" s="208"/>
      <c r="AS235" s="227"/>
    </row>
    <row r="236" spans="1:59" x14ac:dyDescent="0.25">
      <c r="A236" s="225"/>
      <c r="B236" s="227" t="s">
        <v>59</v>
      </c>
      <c r="C236" s="29"/>
      <c r="E236" s="23"/>
      <c r="F236" s="225"/>
      <c r="G236" s="208"/>
      <c r="H236" s="208"/>
      <c r="I236" s="227"/>
      <c r="J236" s="288"/>
      <c r="K236" s="243"/>
      <c r="L236" s="243"/>
      <c r="M236" s="243"/>
      <c r="N236" s="288"/>
      <c r="O236" s="243"/>
      <c r="P236" s="243">
        <v>306.39999999999998</v>
      </c>
      <c r="Q236" s="243">
        <v>222.2</v>
      </c>
      <c r="R236" s="360">
        <v>199</v>
      </c>
      <c r="S236" s="359">
        <v>80.5</v>
      </c>
      <c r="T236" s="359">
        <v>198.3</v>
      </c>
      <c r="U236" s="359">
        <v>230.1</v>
      </c>
      <c r="V236" s="360">
        <v>204.9</v>
      </c>
      <c r="W236" s="359">
        <v>227</v>
      </c>
      <c r="X236" s="359">
        <v>275</v>
      </c>
      <c r="Y236" s="454">
        <v>240</v>
      </c>
      <c r="Z236" s="360">
        <v>242</v>
      </c>
      <c r="AA236" s="359">
        <v>382</v>
      </c>
      <c r="AB236" s="359">
        <v>396</v>
      </c>
      <c r="AC236" s="454">
        <v>416</v>
      </c>
      <c r="AD236" s="360">
        <v>478</v>
      </c>
      <c r="AE236" s="359">
        <v>509</v>
      </c>
      <c r="AF236" s="359">
        <v>473</v>
      </c>
      <c r="AG236" s="454">
        <v>422</v>
      </c>
      <c r="AH236" s="360">
        <v>400</v>
      </c>
      <c r="AI236" s="359">
        <v>459</v>
      </c>
      <c r="AJ236" s="359">
        <v>498</v>
      </c>
      <c r="AK236" s="454">
        <v>416</v>
      </c>
      <c r="AL236" s="360">
        <v>373</v>
      </c>
      <c r="AM236" s="359">
        <v>373</v>
      </c>
      <c r="AN236" s="359">
        <v>441</v>
      </c>
      <c r="AO236" s="454">
        <v>411</v>
      </c>
      <c r="AP236" s="360">
        <v>381</v>
      </c>
      <c r="AQ236" s="359">
        <v>412</v>
      </c>
      <c r="AR236" s="359"/>
      <c r="AS236" s="454"/>
    </row>
    <row r="237" spans="1:59" x14ac:dyDescent="0.25">
      <c r="A237" s="225"/>
      <c r="B237" s="227" t="s">
        <v>61</v>
      </c>
      <c r="C237" s="29"/>
      <c r="E237" s="23"/>
      <c r="F237" s="225"/>
      <c r="G237" s="208"/>
      <c r="H237" s="208"/>
      <c r="I237" s="227"/>
      <c r="J237" s="289"/>
      <c r="K237" s="243"/>
      <c r="L237" s="243"/>
      <c r="M237" s="243"/>
      <c r="N237" s="289"/>
      <c r="O237" s="243">
        <v>95.4</v>
      </c>
      <c r="P237" s="243">
        <v>269.89999999999998</v>
      </c>
      <c r="Q237" s="243">
        <f>258+37.1</f>
        <v>295.10000000000002</v>
      </c>
      <c r="R237" s="360">
        <v>86.4</v>
      </c>
      <c r="S237" s="359">
        <f>50.2+15.2</f>
        <v>65.400000000000006</v>
      </c>
      <c r="T237" s="359">
        <v>102.9</v>
      </c>
      <c r="U237" s="359">
        <f>212.7+47.8</f>
        <v>260.5</v>
      </c>
      <c r="V237" s="360">
        <v>95.6</v>
      </c>
      <c r="W237" s="359">
        <v>222</v>
      </c>
      <c r="X237" s="359">
        <v>268</v>
      </c>
      <c r="Y237" s="454">
        <v>519</v>
      </c>
      <c r="Z237" s="360">
        <v>183</v>
      </c>
      <c r="AA237" s="359">
        <v>208</v>
      </c>
      <c r="AB237" s="359">
        <v>242</v>
      </c>
      <c r="AC237" s="454">
        <v>439</v>
      </c>
      <c r="AD237" s="360">
        <v>168</v>
      </c>
      <c r="AE237" s="359">
        <v>229</v>
      </c>
      <c r="AF237" s="359">
        <v>276</v>
      </c>
      <c r="AG237" s="454">
        <v>424</v>
      </c>
      <c r="AH237" s="360">
        <v>151</v>
      </c>
      <c r="AI237" s="359">
        <v>231</v>
      </c>
      <c r="AJ237" s="359">
        <v>198</v>
      </c>
      <c r="AK237" s="454">
        <v>538</v>
      </c>
      <c r="AL237" s="360">
        <v>204</v>
      </c>
      <c r="AM237" s="359">
        <v>356</v>
      </c>
      <c r="AN237" s="359">
        <v>278</v>
      </c>
      <c r="AO237" s="454">
        <v>514</v>
      </c>
      <c r="AP237" s="360">
        <v>194</v>
      </c>
      <c r="AQ237" s="359">
        <v>297</v>
      </c>
      <c r="AR237" s="359"/>
      <c r="AS237" s="454"/>
    </row>
    <row r="238" spans="1:59" x14ac:dyDescent="0.25">
      <c r="A238" s="225"/>
      <c r="B238" s="227" t="s">
        <v>63</v>
      </c>
      <c r="C238" s="29"/>
      <c r="E238" s="23"/>
      <c r="F238" s="225"/>
      <c r="G238" s="208"/>
      <c r="H238" s="208"/>
      <c r="I238" s="227"/>
      <c r="J238" s="289"/>
      <c r="K238" s="277"/>
      <c r="L238" s="243"/>
      <c r="M238" s="243"/>
      <c r="N238" s="288"/>
      <c r="O238" s="243">
        <v>0.7</v>
      </c>
      <c r="P238" s="243">
        <v>0.2</v>
      </c>
      <c r="Q238" s="221">
        <v>-0.9</v>
      </c>
      <c r="R238" s="360">
        <v>0</v>
      </c>
      <c r="S238" s="359">
        <v>0</v>
      </c>
      <c r="T238" s="359">
        <v>0</v>
      </c>
      <c r="U238" s="359">
        <v>0</v>
      </c>
      <c r="V238" s="360">
        <v>0</v>
      </c>
      <c r="W238" s="359">
        <v>6</v>
      </c>
      <c r="X238" s="359">
        <v>56</v>
      </c>
      <c r="Y238" s="454">
        <v>140</v>
      </c>
      <c r="Z238" s="360">
        <v>204</v>
      </c>
      <c r="AA238" s="359">
        <v>201</v>
      </c>
      <c r="AB238" s="359">
        <v>207</v>
      </c>
      <c r="AC238" s="454">
        <v>312</v>
      </c>
      <c r="AD238" s="360">
        <v>163</v>
      </c>
      <c r="AE238" s="359">
        <v>224</v>
      </c>
      <c r="AF238" s="359">
        <v>270</v>
      </c>
      <c r="AG238" s="454">
        <v>236</v>
      </c>
      <c r="AH238" s="360">
        <v>154</v>
      </c>
      <c r="AI238" s="359">
        <v>196</v>
      </c>
      <c r="AJ238" s="359">
        <v>159</v>
      </c>
      <c r="AK238" s="454">
        <v>170</v>
      </c>
      <c r="AL238" s="360">
        <v>164</v>
      </c>
      <c r="AM238" s="359">
        <v>145</v>
      </c>
      <c r="AN238" s="359">
        <v>139</v>
      </c>
      <c r="AO238" s="454">
        <v>170</v>
      </c>
      <c r="AP238" s="360">
        <v>101</v>
      </c>
      <c r="AQ238" s="359">
        <v>115</v>
      </c>
      <c r="AR238" s="359"/>
      <c r="AS238" s="454"/>
    </row>
    <row r="239" spans="1:59" s="1" customFormat="1" x14ac:dyDescent="0.25">
      <c r="A239" s="306"/>
      <c r="B239" s="290" t="s">
        <v>64</v>
      </c>
      <c r="C239" s="152">
        <f t="shared" ref="C239:N239" si="413">+C238+C237+C236</f>
        <v>0</v>
      </c>
      <c r="D239" s="153">
        <f t="shared" si="413"/>
        <v>0</v>
      </c>
      <c r="E239" s="154">
        <f t="shared" si="413"/>
        <v>0</v>
      </c>
      <c r="F239" s="152">
        <f t="shared" si="413"/>
        <v>0</v>
      </c>
      <c r="G239" s="153">
        <f t="shared" si="413"/>
        <v>0</v>
      </c>
      <c r="H239" s="153">
        <f t="shared" si="413"/>
        <v>0</v>
      </c>
      <c r="I239" s="154">
        <f t="shared" si="413"/>
        <v>0</v>
      </c>
      <c r="J239" s="152">
        <f t="shared" si="413"/>
        <v>0</v>
      </c>
      <c r="K239" s="153">
        <f t="shared" si="413"/>
        <v>0</v>
      </c>
      <c r="L239" s="153">
        <f t="shared" si="413"/>
        <v>0</v>
      </c>
      <c r="M239" s="153">
        <f t="shared" si="413"/>
        <v>0</v>
      </c>
      <c r="N239" s="152">
        <f t="shared" si="413"/>
        <v>0</v>
      </c>
      <c r="O239" s="153">
        <f t="shared" ref="O239:T239" si="414">+O238+O237+O236</f>
        <v>96.100000000000009</v>
      </c>
      <c r="P239" s="153">
        <f t="shared" si="414"/>
        <v>576.5</v>
      </c>
      <c r="Q239" s="153">
        <f t="shared" si="414"/>
        <v>516.40000000000009</v>
      </c>
      <c r="R239" s="429">
        <f t="shared" si="414"/>
        <v>285.39999999999998</v>
      </c>
      <c r="S239" s="430">
        <f t="shared" si="414"/>
        <v>145.9</v>
      </c>
      <c r="T239" s="430">
        <f t="shared" si="414"/>
        <v>301.20000000000005</v>
      </c>
      <c r="U239" s="430">
        <f t="shared" ref="U239:W239" si="415">+U238+U237+U236</f>
        <v>490.6</v>
      </c>
      <c r="V239" s="429">
        <f t="shared" si="415"/>
        <v>300.5</v>
      </c>
      <c r="W239" s="430">
        <f t="shared" si="415"/>
        <v>455</v>
      </c>
      <c r="X239" s="430">
        <f t="shared" ref="X239:AA239" si="416">+X238+X237+X236</f>
        <v>599</v>
      </c>
      <c r="Y239" s="472">
        <f t="shared" si="416"/>
        <v>899</v>
      </c>
      <c r="Z239" s="429">
        <f t="shared" si="416"/>
        <v>629</v>
      </c>
      <c r="AA239" s="430">
        <f t="shared" si="416"/>
        <v>791</v>
      </c>
      <c r="AB239" s="430">
        <f t="shared" ref="AB239:AE239" si="417">+AB238+AB237+AB236</f>
        <v>845</v>
      </c>
      <c r="AC239" s="157">
        <f t="shared" si="417"/>
        <v>1167</v>
      </c>
      <c r="AD239" s="429">
        <f t="shared" si="417"/>
        <v>809</v>
      </c>
      <c r="AE239" s="430">
        <f t="shared" si="417"/>
        <v>962</v>
      </c>
      <c r="AF239" s="156">
        <f t="shared" ref="AF239:AI239" si="418">+AF238+AF237+AF236</f>
        <v>1019</v>
      </c>
      <c r="AG239" s="157">
        <f t="shared" si="418"/>
        <v>1082</v>
      </c>
      <c r="AH239" s="429">
        <f t="shared" si="418"/>
        <v>705</v>
      </c>
      <c r="AI239" s="430">
        <f t="shared" si="418"/>
        <v>886</v>
      </c>
      <c r="AJ239" s="156">
        <f t="shared" ref="AJ239:AO239" si="419">+AJ238+AJ237+AJ236</f>
        <v>855</v>
      </c>
      <c r="AK239" s="157">
        <f t="shared" si="419"/>
        <v>1124</v>
      </c>
      <c r="AL239" s="429">
        <f t="shared" si="419"/>
        <v>741</v>
      </c>
      <c r="AM239" s="430">
        <f t="shared" si="419"/>
        <v>874</v>
      </c>
      <c r="AN239" s="156">
        <f t="shared" si="419"/>
        <v>858</v>
      </c>
      <c r="AO239" s="157">
        <f t="shared" si="419"/>
        <v>1095</v>
      </c>
      <c r="AP239" s="429">
        <f t="shared" ref="AP239:AS239" si="420">+AP238+AP237+AP236</f>
        <v>676</v>
      </c>
      <c r="AQ239" s="430">
        <f t="shared" si="420"/>
        <v>824</v>
      </c>
      <c r="AR239" s="156">
        <f t="shared" si="420"/>
        <v>0</v>
      </c>
      <c r="AS239" s="157">
        <f t="shared" si="420"/>
        <v>0</v>
      </c>
      <c r="AT239" s="347"/>
      <c r="AU239" s="347"/>
      <c r="AV239" s="347"/>
      <c r="AW239" s="347"/>
      <c r="AX239" s="347"/>
      <c r="AY239" s="347"/>
      <c r="AZ239" s="347"/>
      <c r="BA239" s="347"/>
      <c r="BB239" s="347"/>
      <c r="BC239" s="347"/>
      <c r="BD239" s="347"/>
      <c r="BE239" s="347"/>
      <c r="BF239" s="347"/>
      <c r="BG239" s="347"/>
    </row>
    <row r="240" spans="1:59" s="208" customFormat="1" x14ac:dyDescent="0.25">
      <c r="A240" s="225"/>
      <c r="B240" s="250"/>
      <c r="C240" s="210"/>
      <c r="E240" s="227"/>
      <c r="F240" s="225"/>
      <c r="I240" s="227"/>
      <c r="J240" s="225"/>
      <c r="N240" s="225"/>
      <c r="R240" s="225"/>
      <c r="V240" s="225"/>
      <c r="Y240" s="227"/>
      <c r="Z240" s="225"/>
      <c r="AC240" s="227"/>
      <c r="AD240" s="225"/>
      <c r="AG240" s="227"/>
      <c r="AH240" s="225"/>
      <c r="AK240" s="227"/>
      <c r="AL240" s="225"/>
      <c r="AO240" s="227"/>
      <c r="AP240" s="225"/>
      <c r="AS240" s="227"/>
    </row>
    <row r="241" spans="1:45" s="208" customFormat="1" ht="15.75" x14ac:dyDescent="0.25">
      <c r="A241" s="225"/>
      <c r="B241" s="328"/>
      <c r="C241" s="213"/>
      <c r="E241" s="227"/>
      <c r="F241" s="225"/>
      <c r="I241" s="227"/>
      <c r="J241" s="225"/>
      <c r="N241" s="225"/>
      <c r="R241" s="225"/>
      <c r="V241" s="225"/>
      <c r="Y241" s="227"/>
      <c r="Z241" s="225"/>
      <c r="AC241" s="227"/>
      <c r="AD241" s="225"/>
      <c r="AG241" s="227"/>
      <c r="AH241" s="225"/>
      <c r="AK241" s="227"/>
      <c r="AL241" s="225"/>
      <c r="AO241" s="227"/>
      <c r="AP241" s="225"/>
      <c r="AS241" s="227"/>
    </row>
    <row r="242" spans="1:45" s="208" customFormat="1" ht="17.25" x14ac:dyDescent="0.25">
      <c r="A242" s="225"/>
      <c r="B242" s="292" t="s">
        <v>192</v>
      </c>
      <c r="C242" s="213"/>
      <c r="E242" s="227"/>
      <c r="F242" s="225"/>
      <c r="I242" s="227"/>
      <c r="J242" s="225"/>
      <c r="N242" s="225"/>
      <c r="R242" s="225"/>
      <c r="V242" s="225"/>
      <c r="Y242" s="227"/>
      <c r="Z242" s="225"/>
      <c r="AC242" s="227"/>
      <c r="AD242" s="225"/>
      <c r="AG242" s="227"/>
      <c r="AH242" s="225"/>
      <c r="AK242" s="227"/>
      <c r="AL242" s="225"/>
      <c r="AO242" s="227"/>
      <c r="AP242" s="225"/>
      <c r="AS242" s="227"/>
    </row>
    <row r="243" spans="1:45" s="208" customFormat="1" x14ac:dyDescent="0.25">
      <c r="A243" s="225"/>
      <c r="B243" s="227" t="s">
        <v>101</v>
      </c>
      <c r="C243" s="211"/>
      <c r="D243" s="253"/>
      <c r="E243" s="352"/>
      <c r="F243" s="226"/>
      <c r="G243" s="253"/>
      <c r="H243" s="253"/>
      <c r="I243" s="352"/>
      <c r="J243" s="211"/>
      <c r="K243" s="242"/>
      <c r="L243" s="242"/>
      <c r="M243" s="242"/>
      <c r="N243" s="211"/>
      <c r="O243" s="242">
        <v>17955</v>
      </c>
      <c r="P243" s="242">
        <v>20287</v>
      </c>
      <c r="Q243" s="242">
        <v>23262</v>
      </c>
      <c r="R243" s="211">
        <v>32954</v>
      </c>
      <c r="S243" s="242">
        <v>30018</v>
      </c>
      <c r="T243" s="242">
        <v>36141</v>
      </c>
      <c r="U243" s="242">
        <v>39741</v>
      </c>
      <c r="V243" s="211">
        <v>53663</v>
      </c>
      <c r="W243" s="242">
        <v>54043</v>
      </c>
      <c r="X243" s="242">
        <v>42247</v>
      </c>
      <c r="Y243" s="407">
        <v>38071</v>
      </c>
      <c r="Z243" s="211">
        <v>45007</v>
      </c>
      <c r="AA243" s="242">
        <v>42147</v>
      </c>
      <c r="AB243" s="242">
        <v>42033</v>
      </c>
      <c r="AC243" s="407">
        <v>42446</v>
      </c>
      <c r="AD243" s="211">
        <v>36988</v>
      </c>
      <c r="AE243" s="242">
        <v>31741</v>
      </c>
      <c r="AF243" s="242">
        <v>24481</v>
      </c>
      <c r="AG243" s="407">
        <v>23976</v>
      </c>
      <c r="AH243" s="211">
        <v>24008</v>
      </c>
      <c r="AI243" s="242">
        <v>24834</v>
      </c>
      <c r="AJ243" s="242">
        <v>23960</v>
      </c>
      <c r="AK243" s="407">
        <v>23972</v>
      </c>
      <c r="AL243" s="211">
        <v>25086</v>
      </c>
      <c r="AM243" s="242">
        <v>27220</v>
      </c>
      <c r="AN243" s="242">
        <v>32387</v>
      </c>
      <c r="AO243" s="407">
        <v>37548</v>
      </c>
      <c r="AP243" s="211">
        <v>47070</v>
      </c>
      <c r="AQ243" s="242">
        <v>40919</v>
      </c>
      <c r="AR243" s="242"/>
      <c r="AS243" s="407"/>
    </row>
    <row r="244" spans="1:45" s="208" customFormat="1" x14ac:dyDescent="0.25">
      <c r="A244" s="225"/>
      <c r="B244" s="227" t="s">
        <v>102</v>
      </c>
      <c r="C244" s="211" t="e">
        <f>C243/C253</f>
        <v>#DIV/0!</v>
      </c>
      <c r="D244" s="253" t="e">
        <f>D243/D253</f>
        <v>#DIV/0!</v>
      </c>
      <c r="E244" s="352" t="e">
        <f>E243/E253</f>
        <v>#DIV/0!</v>
      </c>
      <c r="F244" s="226"/>
      <c r="G244" s="253"/>
      <c r="H244" s="253"/>
      <c r="I244" s="352"/>
      <c r="J244" s="211"/>
      <c r="K244" s="242"/>
      <c r="L244" s="242"/>
      <c r="M244" s="242"/>
      <c r="N244" s="211"/>
      <c r="O244" s="242">
        <f t="shared" ref="O244:T244" si="421">O243/O253</f>
        <v>1264.4366197183099</v>
      </c>
      <c r="P244" s="242">
        <f t="shared" si="421"/>
        <v>1382.8902522154056</v>
      </c>
      <c r="Q244" s="242">
        <f t="shared" si="421"/>
        <v>1580.2989130434783</v>
      </c>
      <c r="R244" s="211">
        <f t="shared" si="421"/>
        <v>2142.6527958387514</v>
      </c>
      <c r="S244" s="242">
        <f t="shared" si="421"/>
        <v>1672.3119777158774</v>
      </c>
      <c r="T244" s="242">
        <f t="shared" si="421"/>
        <v>2137.2560615020698</v>
      </c>
      <c r="U244" s="242">
        <f t="shared" ref="U244:W244" si="422">U243/U253</f>
        <v>2545.8680333119796</v>
      </c>
      <c r="V244" s="211">
        <f t="shared" si="422"/>
        <v>3587.0989304812833</v>
      </c>
      <c r="W244" s="242">
        <f t="shared" si="422"/>
        <v>3824.6992215145078</v>
      </c>
      <c r="X244" s="242">
        <f t="shared" ref="X244:AA244" si="423">X243/X253</f>
        <v>2887.6965140123034</v>
      </c>
      <c r="Y244" s="407">
        <f t="shared" si="423"/>
        <v>2468.9364461738001</v>
      </c>
      <c r="Z244" s="211">
        <f t="shared" si="423"/>
        <v>2957.095926412615</v>
      </c>
      <c r="AA244" s="242">
        <f t="shared" si="423"/>
        <v>2703.4637588197561</v>
      </c>
      <c r="AB244" s="242">
        <f t="shared" ref="AB244:AE244" si="424">AB243/AB253</f>
        <v>2465.2785923753663</v>
      </c>
      <c r="AC244" s="407">
        <f t="shared" si="424"/>
        <v>2410.3350369108462</v>
      </c>
      <c r="AD244" s="211">
        <f t="shared" si="424"/>
        <v>2082.6576576576576</v>
      </c>
      <c r="AE244" s="242">
        <f t="shared" si="424"/>
        <v>1701.0182207931405</v>
      </c>
      <c r="AF244" s="242">
        <f t="shared" ref="AF244:AI244" si="425">AF243/AF253</f>
        <v>1316.8908015061861</v>
      </c>
      <c r="AG244" s="407">
        <f t="shared" si="425"/>
        <v>1285.5764075067025</v>
      </c>
      <c r="AH244" s="211">
        <f t="shared" si="425"/>
        <v>1272.9586426299045</v>
      </c>
      <c r="AI244" s="242">
        <f t="shared" si="425"/>
        <v>1337.3182552504038</v>
      </c>
      <c r="AJ244" s="242">
        <f t="shared" ref="AJ244:AO244" si="426">AJ243/AJ253</f>
        <v>1334.0757238307349</v>
      </c>
      <c r="AK244" s="407">
        <f t="shared" si="426"/>
        <v>1340.7158836689039</v>
      </c>
      <c r="AL244" s="211">
        <f t="shared" si="426"/>
        <v>1357.4675324675325</v>
      </c>
      <c r="AM244" s="242">
        <f t="shared" si="426"/>
        <v>1488.2449425915802</v>
      </c>
      <c r="AN244" s="242">
        <f t="shared" si="426"/>
        <v>1835.9977324263039</v>
      </c>
      <c r="AO244" s="407">
        <f t="shared" si="426"/>
        <v>2194.5061367621274</v>
      </c>
      <c r="AP244" s="211">
        <f t="shared" ref="AP244:AS244" si="427">AP243/AP253</f>
        <v>2880.6609547123621</v>
      </c>
      <c r="AQ244" s="242">
        <f t="shared" si="427"/>
        <v>2482.9490291262136</v>
      </c>
      <c r="AR244" s="242" t="e">
        <f t="shared" si="427"/>
        <v>#DIV/0!</v>
      </c>
      <c r="AS244" s="407" t="e">
        <f t="shared" si="427"/>
        <v>#DIV/0!</v>
      </c>
    </row>
    <row r="245" spans="1:45" s="208" customFormat="1" x14ac:dyDescent="0.25">
      <c r="A245" s="225"/>
      <c r="B245" s="227" t="s">
        <v>107</v>
      </c>
      <c r="C245" s="211"/>
      <c r="D245" s="253"/>
      <c r="E245" s="352"/>
      <c r="F245" s="226"/>
      <c r="G245" s="253"/>
      <c r="H245" s="253"/>
      <c r="I245" s="352"/>
      <c r="J245" s="211"/>
      <c r="K245" s="242"/>
      <c r="L245" s="242"/>
      <c r="M245" s="242"/>
      <c r="N245" s="211"/>
      <c r="O245" s="242">
        <v>18462</v>
      </c>
      <c r="P245" s="253">
        <v>16342</v>
      </c>
      <c r="Q245" s="253">
        <v>17699</v>
      </c>
      <c r="R245" s="226">
        <v>15916</v>
      </c>
      <c r="S245" s="242">
        <v>31021</v>
      </c>
      <c r="T245" s="242">
        <v>24490</v>
      </c>
      <c r="U245" s="242">
        <v>16918</v>
      </c>
      <c r="V245" s="211">
        <v>17865</v>
      </c>
      <c r="W245" s="242">
        <v>17695</v>
      </c>
      <c r="X245" s="242">
        <v>16990</v>
      </c>
      <c r="Y245" s="407">
        <v>18597</v>
      </c>
      <c r="Z245" s="211">
        <v>18616</v>
      </c>
      <c r="AA245" s="242">
        <v>21118</v>
      </c>
      <c r="AB245" s="242">
        <v>21767</v>
      </c>
      <c r="AC245" s="407">
        <v>20034</v>
      </c>
      <c r="AD245" s="211">
        <v>23552</v>
      </c>
      <c r="AE245" s="242">
        <v>23120</v>
      </c>
      <c r="AF245" s="242">
        <v>23814</v>
      </c>
      <c r="AG245" s="407">
        <v>24280</v>
      </c>
      <c r="AH245" s="211">
        <v>28609</v>
      </c>
      <c r="AI245" s="242">
        <v>24002</v>
      </c>
      <c r="AJ245" s="242">
        <v>23626</v>
      </c>
      <c r="AK245" s="407">
        <v>22634</v>
      </c>
      <c r="AL245" s="211">
        <v>27582</v>
      </c>
      <c r="AM245" s="242">
        <v>25103</v>
      </c>
      <c r="AN245" s="242">
        <v>24279</v>
      </c>
      <c r="AO245" s="407">
        <v>29940</v>
      </c>
      <c r="AP245" s="211">
        <v>27996</v>
      </c>
      <c r="AQ245" s="242">
        <v>29486</v>
      </c>
      <c r="AR245" s="242"/>
      <c r="AS245" s="407"/>
    </row>
    <row r="246" spans="1:45" s="208" customFormat="1" x14ac:dyDescent="0.25">
      <c r="A246" s="225"/>
      <c r="B246" s="227" t="s">
        <v>108</v>
      </c>
      <c r="C246" s="211" t="e">
        <f>C245/C253</f>
        <v>#DIV/0!</v>
      </c>
      <c r="D246" s="253" t="e">
        <f>D245/D253</f>
        <v>#DIV/0!</v>
      </c>
      <c r="E246" s="352" t="e">
        <f>E245/E253</f>
        <v>#DIV/0!</v>
      </c>
      <c r="F246" s="226"/>
      <c r="G246" s="253"/>
      <c r="H246" s="253"/>
      <c r="I246" s="352"/>
      <c r="J246" s="211"/>
      <c r="K246" s="242"/>
      <c r="L246" s="242"/>
      <c r="M246" s="242"/>
      <c r="N246" s="211"/>
      <c r="O246" s="242">
        <f t="shared" ref="O246:T246" si="428">O245/O253</f>
        <v>1300.1408450704225</v>
      </c>
      <c r="P246" s="242">
        <f t="shared" si="428"/>
        <v>1113.9740967961827</v>
      </c>
      <c r="Q246" s="242">
        <f t="shared" si="428"/>
        <v>1202.3777173913043</v>
      </c>
      <c r="R246" s="211">
        <f t="shared" si="428"/>
        <v>1034.8504551365409</v>
      </c>
      <c r="S246" s="242">
        <f t="shared" si="428"/>
        <v>1728.1894150417827</v>
      </c>
      <c r="T246" s="242">
        <f t="shared" si="428"/>
        <v>1448.2554701360141</v>
      </c>
      <c r="U246" s="242">
        <f t="shared" ref="U246:W246" si="429">U245/U253</f>
        <v>1083.7924407431135</v>
      </c>
      <c r="V246" s="211">
        <f t="shared" si="429"/>
        <v>1194.1844919786095</v>
      </c>
      <c r="W246" s="242">
        <f t="shared" si="429"/>
        <v>1252.3000707714082</v>
      </c>
      <c r="X246" s="242">
        <f t="shared" ref="X246:AA246" si="430">X245/X253</f>
        <v>1161.3123718386876</v>
      </c>
      <c r="Y246" s="407">
        <f t="shared" si="430"/>
        <v>1206.0311284046693</v>
      </c>
      <c r="Z246" s="211">
        <f t="shared" si="430"/>
        <v>1223.1274638633377</v>
      </c>
      <c r="AA246" s="242">
        <f t="shared" si="430"/>
        <v>1354.5862732520848</v>
      </c>
      <c r="AB246" s="242">
        <f t="shared" ref="AB246:AE246" si="431">AB245/AB253</f>
        <v>1276.656891495601</v>
      </c>
      <c r="AC246" s="407">
        <f t="shared" si="431"/>
        <v>1137.6490630323681</v>
      </c>
      <c r="AD246" s="211">
        <f t="shared" si="431"/>
        <v>1326.1261261261261</v>
      </c>
      <c r="AE246" s="242">
        <f t="shared" si="431"/>
        <v>1239.0139335476956</v>
      </c>
      <c r="AF246" s="242">
        <f t="shared" ref="AF246:AI246" si="432">AF245/AF253</f>
        <v>1281.0112963959118</v>
      </c>
      <c r="AG246" s="407">
        <f t="shared" si="432"/>
        <v>1301.8766756032173</v>
      </c>
      <c r="AH246" s="211">
        <f t="shared" si="432"/>
        <v>1516.9141039236479</v>
      </c>
      <c r="AI246" s="242">
        <f t="shared" si="432"/>
        <v>1292.5148088314486</v>
      </c>
      <c r="AJ246" s="242">
        <f t="shared" ref="AJ246:AO246" si="433">AJ245/AJ253</f>
        <v>1315.478841870824</v>
      </c>
      <c r="AK246" s="407">
        <f t="shared" si="433"/>
        <v>1265.8836689038033</v>
      </c>
      <c r="AL246" s="211">
        <f t="shared" si="433"/>
        <v>1492.5324675324675</v>
      </c>
      <c r="AM246" s="242">
        <f>AM245/AM253+1</f>
        <v>1373.4986331328596</v>
      </c>
      <c r="AN246" s="242">
        <f t="shared" si="433"/>
        <v>1376.360544217687</v>
      </c>
      <c r="AO246" s="407">
        <f t="shared" si="433"/>
        <v>1749.8538866160141</v>
      </c>
      <c r="AP246" s="211">
        <f t="shared" ref="AP246" si="434">AP245/AP253</f>
        <v>1713.3414932680539</v>
      </c>
      <c r="AQ246" s="242">
        <f>AQ245/AQ253</f>
        <v>1789.1990291262136</v>
      </c>
      <c r="AR246" s="242" t="e">
        <f t="shared" ref="AR246:AS246" si="435">AR245/AR253</f>
        <v>#DIV/0!</v>
      </c>
      <c r="AS246" s="407" t="e">
        <f t="shared" si="435"/>
        <v>#DIV/0!</v>
      </c>
    </row>
    <row r="247" spans="1:45" s="208" customFormat="1" ht="15" hidden="1" customHeight="1" x14ac:dyDescent="0.25">
      <c r="A247" s="225"/>
      <c r="B247" s="227" t="s">
        <v>109</v>
      </c>
      <c r="C247" s="226"/>
      <c r="D247" s="253"/>
      <c r="E247" s="352"/>
      <c r="F247" s="226"/>
      <c r="G247" s="253"/>
      <c r="H247" s="253"/>
      <c r="I247" s="218"/>
      <c r="J247" s="219"/>
      <c r="K247" s="219"/>
      <c r="L247" s="219"/>
      <c r="M247" s="219"/>
      <c r="N247" s="220"/>
      <c r="O247" s="219"/>
      <c r="P247" s="219" t="s">
        <v>77</v>
      </c>
      <c r="Q247" s="219" t="s">
        <v>77</v>
      </c>
      <c r="R247" s="220" t="s">
        <v>77</v>
      </c>
      <c r="S247" s="219" t="s">
        <v>77</v>
      </c>
      <c r="T247" s="219" t="s">
        <v>77</v>
      </c>
      <c r="U247" s="219" t="s">
        <v>77</v>
      </c>
      <c r="V247" s="220" t="s">
        <v>77</v>
      </c>
      <c r="W247" s="219" t="s">
        <v>77</v>
      </c>
      <c r="X247" s="219" t="s">
        <v>77</v>
      </c>
      <c r="Y247" s="218" t="s">
        <v>77</v>
      </c>
      <c r="Z247" s="220" t="s">
        <v>77</v>
      </c>
      <c r="AA247" s="219" t="s">
        <v>77</v>
      </c>
      <c r="AB247" s="219" t="s">
        <v>77</v>
      </c>
      <c r="AC247" s="218" t="s">
        <v>77</v>
      </c>
      <c r="AD247" s="220" t="s">
        <v>77</v>
      </c>
      <c r="AE247" s="219" t="s">
        <v>77</v>
      </c>
      <c r="AF247" s="219" t="s">
        <v>77</v>
      </c>
      <c r="AG247" s="218" t="s">
        <v>77</v>
      </c>
      <c r="AH247" s="220" t="s">
        <v>77</v>
      </c>
      <c r="AI247" s="219" t="s">
        <v>77</v>
      </c>
      <c r="AJ247" s="219" t="s">
        <v>77</v>
      </c>
      <c r="AK247" s="218" t="s">
        <v>77</v>
      </c>
      <c r="AL247" s="220" t="s">
        <v>77</v>
      </c>
      <c r="AM247" s="219"/>
      <c r="AN247" s="219"/>
      <c r="AO247" s="218"/>
      <c r="AP247" s="220" t="s">
        <v>77</v>
      </c>
      <c r="AQ247" s="219"/>
      <c r="AR247" s="219"/>
      <c r="AS247" s="218"/>
    </row>
    <row r="248" spans="1:45" s="208" customFormat="1" ht="15" hidden="1" customHeight="1" x14ac:dyDescent="0.25">
      <c r="A248" s="225"/>
      <c r="B248" s="227" t="s">
        <v>110</v>
      </c>
      <c r="C248" s="226"/>
      <c r="D248" s="253"/>
      <c r="E248" s="352"/>
      <c r="F248" s="226"/>
      <c r="G248" s="253"/>
      <c r="H248" s="253"/>
      <c r="I248" s="218"/>
      <c r="J248" s="219"/>
      <c r="K248" s="219"/>
      <c r="L248" s="219"/>
      <c r="M248" s="219"/>
      <c r="N248" s="220"/>
      <c r="O248" s="219"/>
      <c r="P248" s="219" t="s">
        <v>77</v>
      </c>
      <c r="Q248" s="219" t="s">
        <v>77</v>
      </c>
      <c r="R248" s="220" t="s">
        <v>77</v>
      </c>
      <c r="S248" s="219" t="s">
        <v>77</v>
      </c>
      <c r="T248" s="219" t="s">
        <v>77</v>
      </c>
      <c r="U248" s="219" t="s">
        <v>77</v>
      </c>
      <c r="V248" s="220" t="s">
        <v>77</v>
      </c>
      <c r="W248" s="219" t="s">
        <v>77</v>
      </c>
      <c r="X248" s="219" t="s">
        <v>77</v>
      </c>
      <c r="Y248" s="218" t="s">
        <v>77</v>
      </c>
      <c r="Z248" s="220" t="s">
        <v>77</v>
      </c>
      <c r="AA248" s="219" t="s">
        <v>77</v>
      </c>
      <c r="AB248" s="219" t="s">
        <v>77</v>
      </c>
      <c r="AC248" s="218" t="s">
        <v>77</v>
      </c>
      <c r="AD248" s="220" t="s">
        <v>77</v>
      </c>
      <c r="AE248" s="219" t="s">
        <v>77</v>
      </c>
      <c r="AF248" s="219" t="s">
        <v>77</v>
      </c>
      <c r="AG248" s="218" t="s">
        <v>77</v>
      </c>
      <c r="AH248" s="220" t="s">
        <v>77</v>
      </c>
      <c r="AI248" s="219" t="s">
        <v>77</v>
      </c>
      <c r="AJ248" s="219" t="s">
        <v>77</v>
      </c>
      <c r="AK248" s="218" t="s">
        <v>77</v>
      </c>
      <c r="AL248" s="220" t="s">
        <v>77</v>
      </c>
      <c r="AM248" s="219"/>
      <c r="AN248" s="219"/>
      <c r="AO248" s="218"/>
      <c r="AP248" s="220" t="s">
        <v>77</v>
      </c>
      <c r="AQ248" s="219"/>
      <c r="AR248" s="219"/>
      <c r="AS248" s="218"/>
    </row>
    <row r="249" spans="1:45" s="208" customFormat="1" x14ac:dyDescent="0.25">
      <c r="A249" s="225"/>
      <c r="B249" s="227" t="s">
        <v>128</v>
      </c>
      <c r="C249" s="226"/>
      <c r="D249" s="253"/>
      <c r="E249" s="352"/>
      <c r="F249" s="226"/>
      <c r="G249" s="253"/>
      <c r="H249" s="253"/>
      <c r="I249" s="352"/>
      <c r="J249" s="211"/>
      <c r="K249" s="242"/>
      <c r="L249" s="242"/>
      <c r="M249" s="242"/>
      <c r="N249" s="211"/>
      <c r="O249" s="242">
        <v>16930</v>
      </c>
      <c r="P249" s="242">
        <v>17955</v>
      </c>
      <c r="Q249" s="242">
        <v>17409</v>
      </c>
      <c r="R249" s="211">
        <v>15408</v>
      </c>
      <c r="S249" s="242">
        <v>29194</v>
      </c>
      <c r="T249" s="242">
        <v>15869</v>
      </c>
      <c r="U249" s="242">
        <v>19827</v>
      </c>
      <c r="V249" s="211">
        <v>18755</v>
      </c>
      <c r="W249" s="242">
        <v>16853</v>
      </c>
      <c r="X249" s="242">
        <v>15933</v>
      </c>
      <c r="Y249" s="407">
        <v>18379</v>
      </c>
      <c r="Z249" s="211">
        <v>17806</v>
      </c>
      <c r="AA249" s="242">
        <v>20107</v>
      </c>
      <c r="AB249" s="242">
        <v>21785</v>
      </c>
      <c r="AC249" s="407">
        <v>22257</v>
      </c>
      <c r="AD249" s="211">
        <v>23057</v>
      </c>
      <c r="AE249" s="242">
        <v>21574</v>
      </c>
      <c r="AF249" s="242">
        <v>22607</v>
      </c>
      <c r="AG249" s="407">
        <v>23764</v>
      </c>
      <c r="AH249" s="211">
        <v>26606</v>
      </c>
      <c r="AI249" s="242">
        <v>22209</v>
      </c>
      <c r="AJ249" s="242">
        <v>22265</v>
      </c>
      <c r="AK249" s="407">
        <v>23093</v>
      </c>
      <c r="AL249" s="211">
        <v>24375</v>
      </c>
      <c r="AM249" s="242">
        <v>23122</v>
      </c>
      <c r="AN249" s="242">
        <v>21697</v>
      </c>
      <c r="AO249" s="407">
        <v>29534</v>
      </c>
      <c r="AP249" s="211">
        <v>24760</v>
      </c>
      <c r="AQ249" s="242">
        <v>27456</v>
      </c>
      <c r="AR249" s="242"/>
      <c r="AS249" s="407"/>
    </row>
    <row r="250" spans="1:45" s="208" customFormat="1" x14ac:dyDescent="0.25">
      <c r="A250" s="225"/>
      <c r="B250" s="227" t="s">
        <v>129</v>
      </c>
      <c r="C250" s="226" t="e">
        <f>C249/C253</f>
        <v>#DIV/0!</v>
      </c>
      <c r="D250" s="253" t="e">
        <f>D249/D253</f>
        <v>#DIV/0!</v>
      </c>
      <c r="E250" s="352" t="e">
        <f>E249/E253</f>
        <v>#DIV/0!</v>
      </c>
      <c r="F250" s="226"/>
      <c r="G250" s="253"/>
      <c r="H250" s="253"/>
      <c r="I250" s="352"/>
      <c r="J250" s="211"/>
      <c r="K250" s="242"/>
      <c r="L250" s="242"/>
      <c r="M250" s="242"/>
      <c r="N250" s="211"/>
      <c r="O250" s="242">
        <f t="shared" ref="O250:T250" si="436">O249/O253</f>
        <v>1192.2535211267607</v>
      </c>
      <c r="P250" s="242">
        <f t="shared" si="436"/>
        <v>1223.9263803680981</v>
      </c>
      <c r="Q250" s="242">
        <f t="shared" si="436"/>
        <v>1182.6766304347825</v>
      </c>
      <c r="R250" s="211">
        <f t="shared" si="436"/>
        <v>1001.8205461638491</v>
      </c>
      <c r="S250" s="242">
        <f t="shared" si="436"/>
        <v>1626.4066852367689</v>
      </c>
      <c r="T250" s="242">
        <f t="shared" si="436"/>
        <v>938.43879361324662</v>
      </c>
      <c r="U250" s="242">
        <f t="shared" ref="U250:W250" si="437">U249/U253</f>
        <v>1270.1473414477898</v>
      </c>
      <c r="V250" s="211">
        <f t="shared" si="437"/>
        <v>1253.6764705882351</v>
      </c>
      <c r="W250" s="242">
        <f t="shared" si="437"/>
        <v>1192.7105449398443</v>
      </c>
      <c r="X250" s="242">
        <f t="shared" ref="X250:AA250" si="438">X249/X253</f>
        <v>1089.0635680109365</v>
      </c>
      <c r="Y250" s="407">
        <f t="shared" si="438"/>
        <v>1191.89364461738</v>
      </c>
      <c r="Z250" s="211">
        <f t="shared" si="438"/>
        <v>1169.9080157687254</v>
      </c>
      <c r="AA250" s="242">
        <f t="shared" si="438"/>
        <v>1289.7370109044259</v>
      </c>
      <c r="AB250" s="242">
        <f t="shared" ref="AB250:AE250" si="439">AB249/AB253</f>
        <v>1277.7126099706745</v>
      </c>
      <c r="AC250" s="407">
        <f t="shared" si="439"/>
        <v>1263.8841567291313</v>
      </c>
      <c r="AD250" s="211">
        <f t="shared" si="439"/>
        <v>1298.2545045045044</v>
      </c>
      <c r="AE250" s="242">
        <f t="shared" si="439"/>
        <v>1156.1629153269025</v>
      </c>
      <c r="AF250" s="242">
        <f t="shared" ref="AF250:AI250" si="440">AF249/AF253</f>
        <v>1216.0839160839162</v>
      </c>
      <c r="AG250" s="407">
        <f t="shared" si="440"/>
        <v>1274.2091152815015</v>
      </c>
      <c r="AH250" s="211">
        <f t="shared" si="440"/>
        <v>1410.7104984093319</v>
      </c>
      <c r="AI250" s="242">
        <f t="shared" si="440"/>
        <v>1195.9612277867527</v>
      </c>
      <c r="AJ250" s="242">
        <f t="shared" ref="AJ250:AO250" si="441">AJ249/AJ253</f>
        <v>1239.6993318485522</v>
      </c>
      <c r="AK250" s="407">
        <f t="shared" si="441"/>
        <v>1291.5548098434006</v>
      </c>
      <c r="AL250" s="211">
        <f t="shared" si="441"/>
        <v>1318.9935064935064</v>
      </c>
      <c r="AM250" s="242">
        <f t="shared" si="441"/>
        <v>1264.1880809185348</v>
      </c>
      <c r="AN250" s="242">
        <f t="shared" si="441"/>
        <v>1229.9886621315193</v>
      </c>
      <c r="AO250" s="407">
        <f t="shared" si="441"/>
        <v>1726.1250730566921</v>
      </c>
      <c r="AP250" s="211">
        <f t="shared" ref="AP250:AS250" si="442">AP249/AP253</f>
        <v>1515.2998776009792</v>
      </c>
      <c r="AQ250" s="242">
        <f t="shared" si="442"/>
        <v>1666.019417475728</v>
      </c>
      <c r="AR250" s="242" t="e">
        <f t="shared" si="442"/>
        <v>#DIV/0!</v>
      </c>
      <c r="AS250" s="407" t="e">
        <f t="shared" si="442"/>
        <v>#DIV/0!</v>
      </c>
    </row>
    <row r="251" spans="1:45" s="208" customFormat="1" x14ac:dyDescent="0.25">
      <c r="A251" s="225"/>
      <c r="B251" s="227" t="s">
        <v>136</v>
      </c>
      <c r="C251" s="226"/>
      <c r="D251" s="253"/>
      <c r="E251" s="352"/>
      <c r="F251" s="226"/>
      <c r="G251" s="253"/>
      <c r="H251" s="253"/>
      <c r="I251" s="352"/>
      <c r="J251" s="211"/>
      <c r="K251" s="242"/>
      <c r="L251" s="242"/>
      <c r="M251" s="242"/>
      <c r="N251" s="211"/>
      <c r="O251" s="242">
        <v>16939</v>
      </c>
      <c r="P251" s="242">
        <v>17957</v>
      </c>
      <c r="Q251" s="242">
        <v>17457</v>
      </c>
      <c r="R251" s="211">
        <v>15421</v>
      </c>
      <c r="S251" s="242">
        <v>29339</v>
      </c>
      <c r="T251" s="242">
        <v>15906</v>
      </c>
      <c r="U251" s="242">
        <v>19893</v>
      </c>
      <c r="V251" s="211">
        <v>18757</v>
      </c>
      <c r="W251" s="242">
        <v>16894</v>
      </c>
      <c r="X251" s="242">
        <v>16224</v>
      </c>
      <c r="Y251" s="407">
        <v>19165</v>
      </c>
      <c r="Z251" s="211">
        <v>19012</v>
      </c>
      <c r="AA251" s="242">
        <v>21365</v>
      </c>
      <c r="AB251" s="242">
        <v>23051</v>
      </c>
      <c r="AC251" s="407">
        <v>24067</v>
      </c>
      <c r="AD251" s="211">
        <v>24132</v>
      </c>
      <c r="AE251" s="242">
        <v>22940</v>
      </c>
      <c r="AF251" s="242">
        <v>24115</v>
      </c>
      <c r="AG251" s="407">
        <v>25234</v>
      </c>
      <c r="AH251" s="211">
        <v>27651</v>
      </c>
      <c r="AI251" s="242">
        <v>23506</v>
      </c>
      <c r="AJ251" s="242">
        <v>23163</v>
      </c>
      <c r="AK251" s="407">
        <v>24045</v>
      </c>
      <c r="AL251" s="211">
        <v>25544</v>
      </c>
      <c r="AM251" s="242">
        <v>24012</v>
      </c>
      <c r="AN251" s="242">
        <v>22434</v>
      </c>
      <c r="AO251" s="407">
        <v>30597</v>
      </c>
      <c r="AP251" s="211">
        <v>25423</v>
      </c>
      <c r="AQ251" s="242">
        <v>28190</v>
      </c>
      <c r="AR251" s="242"/>
      <c r="AS251" s="407"/>
    </row>
    <row r="252" spans="1:45" s="208" customFormat="1" x14ac:dyDescent="0.25">
      <c r="A252" s="225"/>
      <c r="B252" s="227" t="s">
        <v>137</v>
      </c>
      <c r="C252" s="226" t="e">
        <f>C251/C253</f>
        <v>#DIV/0!</v>
      </c>
      <c r="D252" s="253" t="e">
        <f>D251/D253</f>
        <v>#DIV/0!</v>
      </c>
      <c r="E252" s="352" t="e">
        <f>E251/E253</f>
        <v>#DIV/0!</v>
      </c>
      <c r="F252" s="226"/>
      <c r="G252" s="253"/>
      <c r="H252" s="253"/>
      <c r="I252" s="352"/>
      <c r="J252" s="360"/>
      <c r="K252" s="359"/>
      <c r="L252" s="242"/>
      <c r="M252" s="242"/>
      <c r="N252" s="211"/>
      <c r="O252" s="242">
        <f t="shared" ref="O252:T252" si="443">O251/O253</f>
        <v>1192.8873239436621</v>
      </c>
      <c r="P252" s="242">
        <f t="shared" si="443"/>
        <v>1224.0627130197684</v>
      </c>
      <c r="Q252" s="242">
        <f t="shared" si="443"/>
        <v>1185.9375</v>
      </c>
      <c r="R252" s="211">
        <f t="shared" si="443"/>
        <v>1002.6657997399219</v>
      </c>
      <c r="S252" s="242">
        <f t="shared" si="443"/>
        <v>1634.4846796657382</v>
      </c>
      <c r="T252" s="242">
        <f t="shared" si="443"/>
        <v>940.62684801892374</v>
      </c>
      <c r="U252" s="242">
        <f t="shared" ref="U252:W252" si="444">U251/U253</f>
        <v>1274.375400384369</v>
      </c>
      <c r="V252" s="211">
        <f t="shared" si="444"/>
        <v>1253.8101604278074</v>
      </c>
      <c r="W252" s="242">
        <f t="shared" si="444"/>
        <v>1195.6121726822364</v>
      </c>
      <c r="X252" s="242">
        <f t="shared" ref="X252:AA252" si="445">X251/X253</f>
        <v>1108.9542036910457</v>
      </c>
      <c r="Y252" s="407">
        <f t="shared" si="445"/>
        <v>1242.8664072632944</v>
      </c>
      <c r="Z252" s="211">
        <f t="shared" si="445"/>
        <v>1249.1458607095926</v>
      </c>
      <c r="AA252" s="242">
        <f t="shared" si="445"/>
        <v>1370.4297626683772</v>
      </c>
      <c r="AB252" s="242">
        <f t="shared" ref="AB252:AE252" si="446">AB251/AB253</f>
        <v>1351.9648093841643</v>
      </c>
      <c r="AC252" s="407">
        <f t="shared" si="446"/>
        <v>1366.6666666666667</v>
      </c>
      <c r="AD252" s="211">
        <f t="shared" si="446"/>
        <v>1358.7837837837837</v>
      </c>
      <c r="AE252" s="242">
        <f t="shared" si="446"/>
        <v>1229.3676312968917</v>
      </c>
      <c r="AF252" s="242">
        <f t="shared" ref="AF252:AI252" si="447">AF251/AF253</f>
        <v>1297.2027972027972</v>
      </c>
      <c r="AG252" s="407">
        <f t="shared" si="447"/>
        <v>1353.0294906166221</v>
      </c>
      <c r="AH252" s="211">
        <f t="shared" si="447"/>
        <v>1466.118769883351</v>
      </c>
      <c r="AI252" s="242">
        <f t="shared" si="447"/>
        <v>1265.8050619278406</v>
      </c>
      <c r="AJ252" s="242">
        <f t="shared" ref="AJ252:AO252" si="448">AJ251/AJ253</f>
        <v>1289.6993318485522</v>
      </c>
      <c r="AK252" s="407">
        <f t="shared" si="448"/>
        <v>1344.7986577181209</v>
      </c>
      <c r="AL252" s="211">
        <f t="shared" si="448"/>
        <v>1382.2510822510822</v>
      </c>
      <c r="AM252" s="242">
        <f t="shared" si="448"/>
        <v>1312.8485511208312</v>
      </c>
      <c r="AN252" s="242">
        <f t="shared" si="448"/>
        <v>1271.7687074829932</v>
      </c>
      <c r="AO252" s="407">
        <f t="shared" si="448"/>
        <v>1788.2524839275279</v>
      </c>
      <c r="AP252" s="211">
        <f t="shared" ref="AP252:AS252" si="449">AP251/AP253</f>
        <v>1555.875152998776</v>
      </c>
      <c r="AQ252" s="242">
        <f t="shared" si="449"/>
        <v>1710.5582524271845</v>
      </c>
      <c r="AR252" s="242" t="e">
        <f t="shared" si="449"/>
        <v>#DIV/0!</v>
      </c>
      <c r="AS252" s="407" t="e">
        <f t="shared" si="449"/>
        <v>#DIV/0!</v>
      </c>
    </row>
    <row r="253" spans="1:45" s="208" customFormat="1" x14ac:dyDescent="0.25">
      <c r="A253" s="225"/>
      <c r="B253" s="227" t="s">
        <v>83</v>
      </c>
      <c r="C253" s="226"/>
      <c r="D253" s="253"/>
      <c r="E253" s="352"/>
      <c r="F253" s="226"/>
      <c r="G253" s="253"/>
      <c r="H253" s="253"/>
      <c r="I253" s="352"/>
      <c r="J253" s="288"/>
      <c r="K253" s="243"/>
      <c r="L253" s="243"/>
      <c r="M253" s="364"/>
      <c r="N253" s="365"/>
      <c r="O253" s="364">
        <v>14.2</v>
      </c>
      <c r="P253" s="364">
        <v>14.67</v>
      </c>
      <c r="Q253" s="364">
        <v>14.72</v>
      </c>
      <c r="R253" s="365">
        <v>15.38</v>
      </c>
      <c r="S253" s="364">
        <v>17.95</v>
      </c>
      <c r="T253" s="364">
        <v>16.91</v>
      </c>
      <c r="U253" s="364">
        <v>15.61</v>
      </c>
      <c r="V253" s="365">
        <v>14.96</v>
      </c>
      <c r="W253" s="243">
        <v>14.13</v>
      </c>
      <c r="X253" s="243">
        <v>14.63</v>
      </c>
      <c r="Y253" s="326">
        <v>15.42</v>
      </c>
      <c r="Z253" s="365">
        <v>15.22</v>
      </c>
      <c r="AA253" s="243">
        <v>15.59</v>
      </c>
      <c r="AB253" s="243">
        <v>17.05</v>
      </c>
      <c r="AC253" s="326">
        <v>17.61</v>
      </c>
      <c r="AD253" s="365">
        <v>17.760000000000002</v>
      </c>
      <c r="AE253" s="243">
        <v>18.66</v>
      </c>
      <c r="AF253" s="297">
        <v>18.59</v>
      </c>
      <c r="AG253" s="326">
        <v>18.649999999999999</v>
      </c>
      <c r="AH253" s="365">
        <v>18.86</v>
      </c>
      <c r="AI253" s="297">
        <v>18.57</v>
      </c>
      <c r="AJ253" s="297">
        <v>17.96</v>
      </c>
      <c r="AK253" s="326">
        <v>17.88</v>
      </c>
      <c r="AL253" s="301">
        <v>18.48</v>
      </c>
      <c r="AM253" s="297">
        <v>18.29</v>
      </c>
      <c r="AN253" s="297">
        <v>17.64</v>
      </c>
      <c r="AO253" s="326">
        <v>17.11</v>
      </c>
      <c r="AP253" s="301">
        <v>16.34</v>
      </c>
      <c r="AQ253" s="297">
        <v>16.48</v>
      </c>
      <c r="AR253" s="297"/>
      <c r="AS253" s="326"/>
    </row>
    <row r="254" spans="1:45" s="208" customFormat="1" x14ac:dyDescent="0.25">
      <c r="A254" s="307"/>
      <c r="B254" s="305"/>
      <c r="C254" s="307"/>
      <c r="D254" s="313"/>
      <c r="E254" s="305"/>
      <c r="F254" s="307"/>
      <c r="G254" s="313"/>
      <c r="H254" s="313"/>
      <c r="I254" s="305"/>
      <c r="J254" s="307"/>
      <c r="K254" s="313"/>
      <c r="L254" s="313"/>
      <c r="M254" s="313"/>
      <c r="N254" s="307"/>
      <c r="O254" s="313"/>
      <c r="P254" s="313"/>
      <c r="Q254" s="313"/>
      <c r="R254" s="307"/>
      <c r="S254" s="313"/>
      <c r="T254" s="313"/>
      <c r="U254" s="313"/>
      <c r="V254" s="307"/>
      <c r="W254" s="313"/>
      <c r="X254" s="313"/>
      <c r="Y254" s="305"/>
      <c r="Z254" s="307"/>
      <c r="AB254" s="313"/>
      <c r="AC254" s="305"/>
      <c r="AD254" s="307"/>
      <c r="AF254" s="313"/>
      <c r="AG254" s="305"/>
      <c r="AH254" s="307"/>
      <c r="AJ254" s="313"/>
      <c r="AK254" s="305"/>
      <c r="AL254" s="307"/>
      <c r="AN254" s="313"/>
      <c r="AO254" s="305"/>
      <c r="AP254" s="307"/>
      <c r="AR254" s="313"/>
      <c r="AS254" s="305"/>
    </row>
    <row r="255" spans="1:45" ht="21" x14ac:dyDescent="0.35">
      <c r="A255" s="160"/>
      <c r="B255" s="184" t="s">
        <v>163</v>
      </c>
      <c r="C255" s="240"/>
      <c r="D255" s="229"/>
      <c r="E255" s="230"/>
      <c r="F255" s="241"/>
      <c r="G255" s="229"/>
      <c r="H255" s="229"/>
      <c r="I255" s="229"/>
      <c r="J255" s="136"/>
      <c r="K255" s="136"/>
      <c r="L255" s="136"/>
      <c r="M255" s="136"/>
      <c r="N255" s="136"/>
      <c r="O255" s="136"/>
      <c r="P255" s="136"/>
      <c r="Q255" s="136"/>
      <c r="R255" s="138"/>
      <c r="S255" s="136"/>
      <c r="T255" s="136"/>
      <c r="U255" s="136"/>
      <c r="V255" s="138"/>
      <c r="W255" s="136"/>
      <c r="X255" s="136"/>
      <c r="Y255" s="137"/>
      <c r="Z255" s="138"/>
      <c r="AA255" s="136"/>
      <c r="AB255" s="136"/>
      <c r="AC255" s="137"/>
      <c r="AD255" s="138"/>
      <c r="AE255" s="136"/>
      <c r="AF255" s="136"/>
      <c r="AG255" s="137"/>
      <c r="AH255" s="138"/>
      <c r="AI255" s="136"/>
      <c r="AJ255" s="136"/>
      <c r="AK255" s="137"/>
      <c r="AL255" s="138"/>
      <c r="AM255" s="136"/>
      <c r="AN255" s="136"/>
      <c r="AO255" s="137"/>
      <c r="AP255" s="138"/>
      <c r="AQ255" s="136"/>
      <c r="AR255" s="136"/>
      <c r="AS255" s="137"/>
    </row>
    <row r="256" spans="1:45" s="208" customFormat="1" ht="18.75" x14ac:dyDescent="0.3">
      <c r="A256" s="225"/>
      <c r="B256" s="327"/>
      <c r="C256" s="213"/>
      <c r="E256" s="227"/>
      <c r="F256" s="225"/>
      <c r="I256" s="227"/>
      <c r="J256" s="225"/>
      <c r="N256" s="225"/>
      <c r="R256" s="225"/>
      <c r="V256" s="225"/>
      <c r="Y256" s="227"/>
      <c r="Z256" s="225"/>
      <c r="AC256" s="227"/>
      <c r="AD256" s="225"/>
      <c r="AG256" s="227"/>
      <c r="AH256" s="225"/>
      <c r="AK256" s="227"/>
      <c r="AL256" s="225"/>
      <c r="AO256" s="227"/>
      <c r="AP256" s="225"/>
      <c r="AS256" s="227"/>
    </row>
    <row r="257" spans="1:59" s="208" customFormat="1" x14ac:dyDescent="0.25">
      <c r="A257" s="225"/>
      <c r="B257" s="290" t="s">
        <v>51</v>
      </c>
      <c r="C257" s="213"/>
      <c r="E257" s="227"/>
      <c r="F257" s="262"/>
      <c r="G257" s="249"/>
      <c r="H257" s="249"/>
      <c r="I257" s="249"/>
      <c r="J257" s="262">
        <f>+J4+J155</f>
        <v>6464</v>
      </c>
      <c r="K257" s="249">
        <f>+K4+K155</f>
        <v>7130</v>
      </c>
      <c r="L257" s="249">
        <f>+L4+L155</f>
        <v>8011.5</v>
      </c>
      <c r="M257" s="249">
        <f>+M4+M155</f>
        <v>8358</v>
      </c>
      <c r="N257" s="262">
        <f>+N4+N155</f>
        <v>6236.5</v>
      </c>
      <c r="O257" s="249">
        <f t="shared" ref="O257:T257" si="450">+O4+O155+O206</f>
        <v>15743.5</v>
      </c>
      <c r="P257" s="249">
        <f t="shared" si="450"/>
        <v>33824.5</v>
      </c>
      <c r="Q257" s="249">
        <f t="shared" si="450"/>
        <v>30068.5</v>
      </c>
      <c r="R257" s="262">
        <f t="shared" si="450"/>
        <v>24951</v>
      </c>
      <c r="S257" s="249">
        <f t="shared" si="450"/>
        <v>9271</v>
      </c>
      <c r="T257" s="249">
        <f t="shared" si="450"/>
        <v>25905.5</v>
      </c>
      <c r="U257" s="249">
        <f t="shared" ref="U257:W257" si="451">+U4+U155+U206</f>
        <v>31090.5</v>
      </c>
      <c r="V257" s="262">
        <f t="shared" si="451"/>
        <v>23768</v>
      </c>
      <c r="W257" s="249">
        <f t="shared" si="451"/>
        <v>28682</v>
      </c>
      <c r="X257" s="249">
        <f t="shared" ref="X257:AA257" si="452">+X4+X155+X206</f>
        <v>29553</v>
      </c>
      <c r="Y257" s="291">
        <f t="shared" si="452"/>
        <v>24904.5</v>
      </c>
      <c r="Z257" s="262">
        <f t="shared" si="452"/>
        <v>21310</v>
      </c>
      <c r="AA257" s="249">
        <f t="shared" si="452"/>
        <v>27127</v>
      </c>
      <c r="AB257" s="249">
        <f t="shared" ref="AB257:AE257" si="453">+AB4+AB155+AB206</f>
        <v>28872</v>
      </c>
      <c r="AC257" s="291">
        <f t="shared" si="453"/>
        <v>27027</v>
      </c>
      <c r="AD257" s="262">
        <f t="shared" si="453"/>
        <v>23867</v>
      </c>
      <c r="AE257" s="249">
        <f t="shared" si="453"/>
        <v>28634</v>
      </c>
      <c r="AF257" s="249">
        <f t="shared" ref="AF257:AI257" si="454">+AF4+AF155+AF206</f>
        <v>32121.5</v>
      </c>
      <c r="AG257" s="291">
        <f t="shared" si="454"/>
        <v>28385</v>
      </c>
      <c r="AH257" s="262">
        <f t="shared" si="454"/>
        <v>22970</v>
      </c>
      <c r="AI257" s="249">
        <f t="shared" si="454"/>
        <v>27298</v>
      </c>
      <c r="AJ257" s="249">
        <f t="shared" ref="AJ257:AQ257" si="455">+AJ4+AJ155+AJ206</f>
        <v>30748</v>
      </c>
      <c r="AK257" s="291">
        <f t="shared" si="455"/>
        <v>25928</v>
      </c>
      <c r="AL257" s="262">
        <f t="shared" si="455"/>
        <v>20635</v>
      </c>
      <c r="AM257" s="249">
        <f t="shared" si="455"/>
        <v>25167</v>
      </c>
      <c r="AN257" s="249">
        <f t="shared" si="455"/>
        <v>29271</v>
      </c>
      <c r="AO257" s="291">
        <f t="shared" si="455"/>
        <v>26620</v>
      </c>
      <c r="AP257" s="262">
        <f t="shared" si="455"/>
        <v>21617</v>
      </c>
      <c r="AQ257" s="249">
        <f t="shared" si="455"/>
        <v>23666</v>
      </c>
      <c r="AR257" s="249"/>
      <c r="AS257" s="291"/>
    </row>
    <row r="258" spans="1:59" s="208" customFormat="1" x14ac:dyDescent="0.25">
      <c r="A258" s="225"/>
      <c r="B258" s="292" t="s">
        <v>123</v>
      </c>
      <c r="C258" s="213"/>
      <c r="E258" s="227"/>
      <c r="F258" s="225"/>
      <c r="I258" s="227"/>
      <c r="K258" s="249"/>
      <c r="L258" s="249"/>
      <c r="M258" s="249"/>
      <c r="N258" s="262"/>
      <c r="O258" s="249"/>
      <c r="P258" s="249"/>
      <c r="Q258" s="249"/>
      <c r="R258" s="262"/>
      <c r="S258" s="249"/>
      <c r="T258" s="249"/>
      <c r="U258" s="249"/>
      <c r="V258" s="262"/>
      <c r="W258" s="249"/>
      <c r="X258" s="249"/>
      <c r="Y258" s="291"/>
      <c r="Z258" s="262"/>
      <c r="AA258" s="249"/>
      <c r="AB258" s="249"/>
      <c r="AC258" s="291"/>
      <c r="AD258" s="262"/>
      <c r="AE258" s="249"/>
      <c r="AF258" s="249"/>
      <c r="AG258" s="291"/>
      <c r="AH258" s="262"/>
      <c r="AI258" s="249"/>
      <c r="AJ258" s="249"/>
      <c r="AK258" s="291"/>
      <c r="AL258" s="262"/>
      <c r="AM258" s="249"/>
      <c r="AN258" s="249"/>
      <c r="AO258" s="291"/>
      <c r="AP258" s="262"/>
      <c r="AQ258" s="249"/>
      <c r="AR258" s="249"/>
      <c r="AS258" s="291"/>
    </row>
    <row r="259" spans="1:59" s="208" customFormat="1" x14ac:dyDescent="0.25">
      <c r="A259" s="225"/>
      <c r="B259" s="227" t="s">
        <v>52</v>
      </c>
      <c r="C259" s="213">
        <v>1259</v>
      </c>
      <c r="D259" s="249">
        <v>1242</v>
      </c>
      <c r="E259" s="291">
        <v>2448</v>
      </c>
      <c r="F259" s="262">
        <f t="shared" ref="F259:I260" si="456">+F6+F106+F157+F56</f>
        <v>2904</v>
      </c>
      <c r="G259" s="249">
        <f t="shared" si="456"/>
        <v>3101</v>
      </c>
      <c r="H259" s="249">
        <f t="shared" si="456"/>
        <v>3209</v>
      </c>
      <c r="I259" s="291">
        <f t="shared" si="456"/>
        <v>3047</v>
      </c>
      <c r="J259" s="262">
        <f>+J6+J106+J157+J56+1</f>
        <v>2890</v>
      </c>
      <c r="K259" s="249">
        <f t="shared" ref="K259:M260" si="457">+K6+K106+K157+K56</f>
        <v>3057</v>
      </c>
      <c r="L259" s="249">
        <f t="shared" si="457"/>
        <v>3288</v>
      </c>
      <c r="M259" s="249">
        <f t="shared" si="457"/>
        <v>3147</v>
      </c>
      <c r="N259" s="262">
        <f>+N6+N106+N157+N56</f>
        <v>2883</v>
      </c>
      <c r="O259" s="249">
        <f t="shared" ref="O259:Q260" si="458">+O6+O106+O157+O56+O208</f>
        <v>4067.5</v>
      </c>
      <c r="P259" s="249">
        <f t="shared" si="458"/>
        <v>5402</v>
      </c>
      <c r="Q259" s="249">
        <f t="shared" si="458"/>
        <v>4776</v>
      </c>
      <c r="R259" s="262">
        <f t="shared" ref="R259:S259" si="459">+R6+R106+R157+R56+R208</f>
        <v>4149</v>
      </c>
      <c r="S259" s="249">
        <f t="shared" si="459"/>
        <v>2298</v>
      </c>
      <c r="T259" s="249">
        <f t="shared" ref="T259:U259" si="460">+T6+T106+T157+T56+T208</f>
        <v>4229</v>
      </c>
      <c r="U259" s="249">
        <f t="shared" si="460"/>
        <v>4748</v>
      </c>
      <c r="V259" s="262">
        <f t="shared" ref="V259:W259" si="461">+V6+V106+V157+V56+V208</f>
        <v>4219</v>
      </c>
      <c r="W259" s="249">
        <f t="shared" si="461"/>
        <v>4688</v>
      </c>
      <c r="X259" s="249">
        <f t="shared" ref="X259:AA259" si="462">+X6+X106+X157+X56+X208</f>
        <v>4964</v>
      </c>
      <c r="Y259" s="291">
        <f t="shared" si="462"/>
        <v>4219</v>
      </c>
      <c r="Z259" s="262">
        <f t="shared" si="462"/>
        <v>4131</v>
      </c>
      <c r="AA259" s="249">
        <f t="shared" si="462"/>
        <v>4328</v>
      </c>
      <c r="AB259" s="249">
        <f t="shared" ref="AB259:AE259" si="463">+AB6+AB106+AB157+AB56+AB208</f>
        <v>4303</v>
      </c>
      <c r="AC259" s="291">
        <f t="shared" si="463"/>
        <v>4229</v>
      </c>
      <c r="AD259" s="262">
        <f t="shared" si="463"/>
        <v>3860</v>
      </c>
      <c r="AE259" s="249">
        <f t="shared" si="463"/>
        <v>4210</v>
      </c>
      <c r="AF259" s="249">
        <f>+AF6+AF106+AF157+AF56+AF208-1</f>
        <v>4457</v>
      </c>
      <c r="AG259" s="291">
        <f t="shared" ref="AG259:AH259" si="464">+AG6+AG106+AG157+AG56+AG208</f>
        <v>4259</v>
      </c>
      <c r="AH259" s="262">
        <f t="shared" si="464"/>
        <v>4110</v>
      </c>
      <c r="AI259" s="249">
        <f>+AI6+AI106+AI157+AI56+AI208-1</f>
        <v>4593</v>
      </c>
      <c r="AJ259" s="249">
        <f>+AJ6+AJ106+AJ157+AJ56+AJ208</f>
        <v>4879</v>
      </c>
      <c r="AK259" s="291">
        <f t="shared" ref="AK259:AL260" si="465">+AK6+AK106+AK157+AK56+AK208</f>
        <v>4365</v>
      </c>
      <c r="AL259" s="262">
        <f t="shared" si="465"/>
        <v>4090</v>
      </c>
      <c r="AM259" s="249">
        <f>+AM6+AM106+AM157+AM56+AM208+1</f>
        <v>4612</v>
      </c>
      <c r="AN259" s="249">
        <f>+AN6+AN106+AN157+AN56+AN208+1</f>
        <v>5283</v>
      </c>
      <c r="AO259" s="291">
        <f t="shared" ref="AO259" si="466">+AO6+AO106+AO157+AO56+AO208</f>
        <v>4575</v>
      </c>
      <c r="AP259" s="262">
        <f>+AP6+AP106+AP157+AP56+AP208</f>
        <v>4198.4259999999995</v>
      </c>
      <c r="AQ259" s="249">
        <f>+AQ6+AQ106+AQ157+AQ56+AQ208+1</f>
        <v>4368</v>
      </c>
      <c r="AR259" s="249"/>
      <c r="AS259" s="291"/>
    </row>
    <row r="260" spans="1:59" s="208" customFormat="1" x14ac:dyDescent="0.25">
      <c r="A260" s="225"/>
      <c r="B260" s="227" t="s">
        <v>53</v>
      </c>
      <c r="C260" s="213">
        <v>1433</v>
      </c>
      <c r="D260" s="249">
        <v>1870</v>
      </c>
      <c r="E260" s="291">
        <v>3360</v>
      </c>
      <c r="F260" s="262">
        <f t="shared" si="456"/>
        <v>3659</v>
      </c>
      <c r="G260" s="249">
        <f t="shared" si="456"/>
        <v>3675</v>
      </c>
      <c r="H260" s="249">
        <f t="shared" si="456"/>
        <v>3705</v>
      </c>
      <c r="I260" s="291">
        <f t="shared" si="456"/>
        <v>2896</v>
      </c>
      <c r="J260" s="262">
        <f>+J7+J107+J158+J57</f>
        <v>2913</v>
      </c>
      <c r="K260" s="249">
        <f t="shared" si="457"/>
        <v>3575</v>
      </c>
      <c r="L260" s="249">
        <f t="shared" si="457"/>
        <v>3480</v>
      </c>
      <c r="M260" s="249">
        <f t="shared" si="457"/>
        <v>3492</v>
      </c>
      <c r="N260" s="262">
        <f>+N7+N107+N158+N57</f>
        <v>2842</v>
      </c>
      <c r="O260" s="249">
        <f t="shared" si="458"/>
        <v>3631</v>
      </c>
      <c r="P260" s="249">
        <f t="shared" si="458"/>
        <v>4189</v>
      </c>
      <c r="Q260" s="249">
        <f t="shared" si="458"/>
        <v>3833</v>
      </c>
      <c r="R260" s="262">
        <f t="shared" ref="R260:S260" si="467">+R7+R107+R158+R57+R209</f>
        <v>3741</v>
      </c>
      <c r="S260" s="249">
        <f t="shared" si="467"/>
        <v>3357</v>
      </c>
      <c r="T260" s="249">
        <f t="shared" ref="T260:U260" si="468">+T7+T107+T158+T57+T209</f>
        <v>4970</v>
      </c>
      <c r="U260" s="249">
        <f t="shared" si="468"/>
        <v>4924</v>
      </c>
      <c r="V260" s="262">
        <f t="shared" ref="V260:W260" si="469">+V7+V107+V158+V57+V209</f>
        <v>4711</v>
      </c>
      <c r="W260" s="249">
        <f t="shared" si="469"/>
        <v>5038</v>
      </c>
      <c r="X260" s="249">
        <f t="shared" ref="X260:AA260" si="470">+X7+X107+X158+X57+X209</f>
        <v>5399</v>
      </c>
      <c r="Y260" s="291">
        <f t="shared" si="470"/>
        <v>5069</v>
      </c>
      <c r="Z260" s="262">
        <f t="shared" si="470"/>
        <v>4832</v>
      </c>
      <c r="AA260" s="249">
        <f t="shared" si="470"/>
        <v>5014</v>
      </c>
      <c r="AB260" s="249">
        <f t="shared" ref="AB260:AC260" si="471">+AB7+AB107+AB158+AB57+AB209</f>
        <v>5081</v>
      </c>
      <c r="AC260" s="291">
        <f t="shared" si="471"/>
        <v>4727</v>
      </c>
      <c r="AD260" s="262">
        <f>+AD7+AD107+AD158+AD57+AD209-1</f>
        <v>4600</v>
      </c>
      <c r="AE260" s="249">
        <f>+AE7+AE107+AE158+AE57+AE209-1</f>
        <v>4972</v>
      </c>
      <c r="AF260" s="249">
        <f>+AF7+AF107+AF158+AF57+AF209-1</f>
        <v>4937</v>
      </c>
      <c r="AG260" s="291">
        <f t="shared" ref="AG260" si="472">+AG7+AG107+AG158+AG57+AG209</f>
        <v>4753</v>
      </c>
      <c r="AH260" s="262">
        <f>+AH7+AH107+AH158+AH57+AH209</f>
        <v>4421</v>
      </c>
      <c r="AI260" s="249">
        <f>+AI7+AI107+AI158+AI57+AI209</f>
        <v>4683</v>
      </c>
      <c r="AJ260" s="249">
        <f>+AJ7+AJ107+AJ158+AJ57+AJ209+1</f>
        <v>4871</v>
      </c>
      <c r="AK260" s="291">
        <f t="shared" si="465"/>
        <v>3920</v>
      </c>
      <c r="AL260" s="262">
        <f>+AL7+AL107+AL158+AL57+AL209</f>
        <v>4119</v>
      </c>
      <c r="AM260" s="249">
        <f t="shared" ref="AM260:AN260" si="473">+AM7+AM107+AM158+AM57+AM209</f>
        <v>4490</v>
      </c>
      <c r="AN260" s="249">
        <f t="shared" si="473"/>
        <v>5061</v>
      </c>
      <c r="AO260" s="291">
        <f>+AO7+AO107+AO158+AO57+AO209+1</f>
        <v>4267</v>
      </c>
      <c r="AP260" s="262">
        <f>+AP7+AP107+AP158+AP57+AP209</f>
        <v>3495.21</v>
      </c>
      <c r="AQ260" s="249">
        <f t="shared" ref="AQ260" si="474">+AQ7+AQ107+AQ158+AQ57+AQ209</f>
        <v>3156</v>
      </c>
      <c r="AR260" s="249"/>
      <c r="AS260" s="291"/>
    </row>
    <row r="261" spans="1:59" s="1" customFormat="1" x14ac:dyDescent="0.25">
      <c r="A261" s="306"/>
      <c r="B261" s="290" t="s">
        <v>54</v>
      </c>
      <c r="C261" s="139">
        <f t="shared" ref="C261:H261" si="475">+C260+C259</f>
        <v>2692</v>
      </c>
      <c r="D261" s="140">
        <f t="shared" si="475"/>
        <v>3112</v>
      </c>
      <c r="E261" s="141">
        <f t="shared" si="475"/>
        <v>5808</v>
      </c>
      <c r="F261" s="139">
        <f t="shared" si="475"/>
        <v>6563</v>
      </c>
      <c r="G261" s="140">
        <f t="shared" si="475"/>
        <v>6776</v>
      </c>
      <c r="H261" s="140">
        <f t="shared" si="475"/>
        <v>6914</v>
      </c>
      <c r="I261" s="141">
        <f t="shared" ref="I261:N261" si="476">+I260+I259</f>
        <v>5943</v>
      </c>
      <c r="J261" s="139">
        <f t="shared" si="476"/>
        <v>5803</v>
      </c>
      <c r="K261" s="140">
        <f t="shared" si="476"/>
        <v>6632</v>
      </c>
      <c r="L261" s="140">
        <f t="shared" si="476"/>
        <v>6768</v>
      </c>
      <c r="M261" s="140">
        <f t="shared" si="476"/>
        <v>6639</v>
      </c>
      <c r="N261" s="139">
        <f t="shared" si="476"/>
        <v>5725</v>
      </c>
      <c r="O261" s="140">
        <f t="shared" ref="O261:T261" si="477">+O260+O259</f>
        <v>7698.5</v>
      </c>
      <c r="P261" s="140">
        <f t="shared" si="477"/>
        <v>9591</v>
      </c>
      <c r="Q261" s="140">
        <f t="shared" si="477"/>
        <v>8609</v>
      </c>
      <c r="R261" s="139">
        <f t="shared" si="477"/>
        <v>7890</v>
      </c>
      <c r="S261" s="140">
        <f t="shared" si="477"/>
        <v>5655</v>
      </c>
      <c r="T261" s="140">
        <f t="shared" si="477"/>
        <v>9199</v>
      </c>
      <c r="U261" s="140">
        <f t="shared" ref="U261:W261" si="478">+U260+U259</f>
        <v>9672</v>
      </c>
      <c r="V261" s="139">
        <f t="shared" si="478"/>
        <v>8930</v>
      </c>
      <c r="W261" s="140">
        <f t="shared" si="478"/>
        <v>9726</v>
      </c>
      <c r="X261" s="140">
        <f t="shared" ref="X261:AA261" si="479">+X260+X259</f>
        <v>10363</v>
      </c>
      <c r="Y261" s="141">
        <f t="shared" si="479"/>
        <v>9288</v>
      </c>
      <c r="Z261" s="139">
        <f t="shared" si="479"/>
        <v>8963</v>
      </c>
      <c r="AA261" s="140">
        <f t="shared" si="479"/>
        <v>9342</v>
      </c>
      <c r="AB261" s="140">
        <f>+AB260+AB259-1</f>
        <v>9383</v>
      </c>
      <c r="AC261" s="141">
        <f t="shared" ref="AC261:AE261" si="480">+AC260+AC259</f>
        <v>8956</v>
      </c>
      <c r="AD261" s="139">
        <f t="shared" si="480"/>
        <v>8460</v>
      </c>
      <c r="AE261" s="140">
        <f t="shared" si="480"/>
        <v>9182</v>
      </c>
      <c r="AF261" s="140">
        <f>+AF260+AF259</f>
        <v>9394</v>
      </c>
      <c r="AG261" s="141">
        <f t="shared" ref="AG261:AI261" si="481">+AG260+AG259</f>
        <v>9012</v>
      </c>
      <c r="AH261" s="139">
        <f t="shared" si="481"/>
        <v>8531</v>
      </c>
      <c r="AI261" s="140">
        <f t="shared" si="481"/>
        <v>9276</v>
      </c>
      <c r="AJ261" s="140">
        <f>+AJ260+AJ259</f>
        <v>9750</v>
      </c>
      <c r="AK261" s="141">
        <f t="shared" ref="AK261:AO261" si="482">+AK260+AK259</f>
        <v>8285</v>
      </c>
      <c r="AL261" s="139">
        <f t="shared" si="482"/>
        <v>8209</v>
      </c>
      <c r="AM261" s="140">
        <f>+AM260+AM259-1</f>
        <v>9101</v>
      </c>
      <c r="AN261" s="140">
        <f>+AN260+AN259-1</f>
        <v>10343</v>
      </c>
      <c r="AO261" s="141">
        <f t="shared" si="482"/>
        <v>8842</v>
      </c>
      <c r="AP261" s="139">
        <f t="shared" ref="AP261" si="483">+AP260+AP259</f>
        <v>7693.6359999999995</v>
      </c>
      <c r="AQ261" s="140">
        <f>+AQ260+AQ259</f>
        <v>7524</v>
      </c>
      <c r="AR261" s="140">
        <f>+AR260+AR259</f>
        <v>0</v>
      </c>
      <c r="AS261" s="141">
        <f t="shared" ref="AS261" si="484">+AS260+AS259</f>
        <v>0</v>
      </c>
      <c r="AT261" s="347"/>
      <c r="AU261" s="347"/>
      <c r="AV261" s="347"/>
      <c r="AW261" s="347"/>
      <c r="AX261" s="347"/>
      <c r="AY261" s="347"/>
      <c r="AZ261" s="347"/>
      <c r="BA261" s="347"/>
      <c r="BB261" s="347"/>
      <c r="BC261" s="347"/>
      <c r="BD261" s="347"/>
      <c r="BE261" s="347"/>
      <c r="BF261" s="347"/>
      <c r="BG261" s="347"/>
    </row>
    <row r="262" spans="1:59" s="208" customFormat="1" x14ac:dyDescent="0.25">
      <c r="A262" s="225"/>
      <c r="B262" s="292" t="s">
        <v>104</v>
      </c>
      <c r="C262" s="213"/>
      <c r="E262" s="227"/>
      <c r="F262" s="225"/>
      <c r="I262" s="227"/>
      <c r="J262" s="225"/>
      <c r="N262" s="225"/>
      <c r="R262" s="225"/>
      <c r="V262" s="225"/>
      <c r="Y262" s="227"/>
      <c r="Z262" s="225"/>
      <c r="AC262" s="227"/>
      <c r="AD262" s="225"/>
      <c r="AG262" s="227"/>
      <c r="AH262" s="225"/>
      <c r="AK262" s="227"/>
      <c r="AL262" s="225"/>
      <c r="AO262" s="227"/>
      <c r="AP262" s="225"/>
      <c r="AS262" s="227"/>
    </row>
    <row r="263" spans="1:59" s="208" customFormat="1" x14ac:dyDescent="0.25">
      <c r="A263" s="225"/>
      <c r="B263" s="227" t="s">
        <v>52</v>
      </c>
      <c r="C263" s="301">
        <v>2.78</v>
      </c>
      <c r="D263" s="208">
        <v>2.79</v>
      </c>
      <c r="E263" s="350">
        <v>3.2</v>
      </c>
      <c r="F263" s="225">
        <v>3.29</v>
      </c>
      <c r="G263" s="208">
        <v>3.33</v>
      </c>
      <c r="H263" s="208">
        <v>3.26</v>
      </c>
      <c r="I263" s="227">
        <v>3.31</v>
      </c>
      <c r="J263" s="317">
        <v>3.3</v>
      </c>
      <c r="K263" s="243">
        <v>3.25</v>
      </c>
      <c r="L263" s="243">
        <v>3.22</v>
      </c>
      <c r="M263" s="243">
        <v>3.26</v>
      </c>
      <c r="N263" s="288">
        <v>3.19</v>
      </c>
      <c r="O263" s="243">
        <v>3.19</v>
      </c>
      <c r="P263" s="243">
        <v>3.34</v>
      </c>
      <c r="Q263" s="243">
        <v>3.36</v>
      </c>
      <c r="R263" s="288">
        <v>3.41</v>
      </c>
      <c r="S263" s="243">
        <v>3.19</v>
      </c>
      <c r="T263" s="243">
        <v>3.31</v>
      </c>
      <c r="U263" s="243">
        <v>3.37</v>
      </c>
      <c r="V263" s="288">
        <v>3.34</v>
      </c>
      <c r="W263" s="243">
        <v>3.37</v>
      </c>
      <c r="X263" s="245">
        <v>3.4</v>
      </c>
      <c r="Y263" s="318">
        <v>3.45</v>
      </c>
      <c r="Z263" s="288">
        <v>3.29</v>
      </c>
      <c r="AA263" s="243">
        <v>3.23</v>
      </c>
      <c r="AB263" s="245">
        <v>3.3</v>
      </c>
      <c r="AC263" s="318">
        <v>3.27</v>
      </c>
      <c r="AD263" s="288">
        <v>3.28</v>
      </c>
      <c r="AE263" s="243">
        <v>3.29</v>
      </c>
      <c r="AF263" s="245">
        <v>3.32</v>
      </c>
      <c r="AG263" s="318">
        <v>3.26</v>
      </c>
      <c r="AH263" s="288">
        <v>3.17</v>
      </c>
      <c r="AI263" s="243">
        <v>3.17</v>
      </c>
      <c r="AJ263" s="245">
        <v>3.24</v>
      </c>
      <c r="AK263" s="318">
        <v>3.36</v>
      </c>
      <c r="AL263" s="288">
        <v>3.15</v>
      </c>
      <c r="AM263" s="243">
        <v>3.21</v>
      </c>
      <c r="AN263" s="245">
        <v>3.23</v>
      </c>
      <c r="AO263" s="318">
        <v>3.22</v>
      </c>
      <c r="AP263" s="288">
        <v>3.17</v>
      </c>
      <c r="AQ263" s="243">
        <v>3.29</v>
      </c>
      <c r="AR263" s="245"/>
      <c r="AS263" s="318"/>
    </row>
    <row r="264" spans="1:59" s="208" customFormat="1" x14ac:dyDescent="0.25">
      <c r="A264" s="225"/>
      <c r="B264" s="227" t="s">
        <v>53</v>
      </c>
      <c r="C264" s="301">
        <v>0.65</v>
      </c>
      <c r="D264" s="208">
        <v>0.63</v>
      </c>
      <c r="E264" s="227">
        <v>0.92</v>
      </c>
      <c r="F264" s="225">
        <v>1.1499999999999999</v>
      </c>
      <c r="G264" s="208">
        <v>0.94</v>
      </c>
      <c r="H264" s="208">
        <v>0.92</v>
      </c>
      <c r="I264" s="227">
        <v>1.06</v>
      </c>
      <c r="J264" s="288">
        <v>0.89</v>
      </c>
      <c r="K264" s="243">
        <v>0.82</v>
      </c>
      <c r="L264" s="243">
        <v>0.87</v>
      </c>
      <c r="M264" s="245">
        <v>0.9</v>
      </c>
      <c r="N264" s="317">
        <v>0.89</v>
      </c>
      <c r="O264" s="245">
        <v>0.87</v>
      </c>
      <c r="P264" s="245">
        <v>0.92</v>
      </c>
      <c r="Q264" s="245">
        <v>0.87</v>
      </c>
      <c r="R264" s="317">
        <v>0.89</v>
      </c>
      <c r="S264" s="245">
        <v>0.97</v>
      </c>
      <c r="T264" s="245">
        <v>0.82</v>
      </c>
      <c r="U264" s="245">
        <v>0.8</v>
      </c>
      <c r="V264" s="317">
        <v>0.81</v>
      </c>
      <c r="W264" s="245">
        <v>0.77</v>
      </c>
      <c r="X264" s="245">
        <v>0.86</v>
      </c>
      <c r="Y264" s="318">
        <v>0.85</v>
      </c>
      <c r="Z264" s="317">
        <v>0.89</v>
      </c>
      <c r="AA264" s="245">
        <v>0.79</v>
      </c>
      <c r="AB264" s="245">
        <v>0.82</v>
      </c>
      <c r="AC264" s="318">
        <v>0.82</v>
      </c>
      <c r="AD264" s="317">
        <v>0.85</v>
      </c>
      <c r="AE264" s="245">
        <v>0.83</v>
      </c>
      <c r="AF264" s="245">
        <v>0.84</v>
      </c>
      <c r="AG264" s="318">
        <v>0.86</v>
      </c>
      <c r="AH264" s="317">
        <v>0.87</v>
      </c>
      <c r="AI264" s="245">
        <v>0.89</v>
      </c>
      <c r="AJ264" s="245">
        <v>0.9</v>
      </c>
      <c r="AK264" s="318">
        <v>1.02</v>
      </c>
      <c r="AL264" s="317">
        <v>0.88</v>
      </c>
      <c r="AM264" s="245">
        <v>0.92</v>
      </c>
      <c r="AN264" s="245">
        <v>0.96</v>
      </c>
      <c r="AO264" s="318">
        <v>0.91</v>
      </c>
      <c r="AP264" s="317">
        <v>0.94</v>
      </c>
      <c r="AQ264" s="245">
        <v>0.91</v>
      </c>
      <c r="AR264" s="245"/>
      <c r="AS264" s="318"/>
    </row>
    <row r="265" spans="1:59" s="1" customFormat="1" x14ac:dyDescent="0.25">
      <c r="A265" s="306"/>
      <c r="B265" s="290" t="s">
        <v>56</v>
      </c>
      <c r="C265" s="148">
        <v>1.65</v>
      </c>
      <c r="D265" s="149">
        <v>1.49</v>
      </c>
      <c r="E265" s="150">
        <v>1.88</v>
      </c>
      <c r="F265" s="148">
        <v>2.1</v>
      </c>
      <c r="G265" s="149">
        <v>2.04</v>
      </c>
      <c r="H265" s="149">
        <v>2.0099999999999998</v>
      </c>
      <c r="I265" s="150">
        <v>2.21</v>
      </c>
      <c r="J265" s="151">
        <v>2.09</v>
      </c>
      <c r="K265" s="162">
        <v>1.95</v>
      </c>
      <c r="L265" s="162">
        <v>2.0099999999999998</v>
      </c>
      <c r="M265" s="162">
        <v>2.02</v>
      </c>
      <c r="N265" s="151">
        <v>2.0499999999999998</v>
      </c>
      <c r="O265" s="162">
        <v>2.1</v>
      </c>
      <c r="P265" s="162">
        <v>2.2799999999999998</v>
      </c>
      <c r="Q265" s="162">
        <v>2.25</v>
      </c>
      <c r="R265" s="151">
        <v>2.2200000000000002</v>
      </c>
      <c r="S265" s="162">
        <v>1.87</v>
      </c>
      <c r="T265" s="162">
        <v>1.96</v>
      </c>
      <c r="U265" s="162">
        <v>2.06</v>
      </c>
      <c r="V265" s="151">
        <v>2.0099999999999998</v>
      </c>
      <c r="W265" s="162">
        <v>2.02</v>
      </c>
      <c r="X265" s="162">
        <v>2.08</v>
      </c>
      <c r="Y265" s="473">
        <v>2.0299999999999998</v>
      </c>
      <c r="Z265" s="263">
        <v>2</v>
      </c>
      <c r="AA265" s="162">
        <v>1.92</v>
      </c>
      <c r="AB265" s="162">
        <v>1.96</v>
      </c>
      <c r="AC265" s="473">
        <v>1.98</v>
      </c>
      <c r="AD265" s="263">
        <v>1.96</v>
      </c>
      <c r="AE265" s="162">
        <v>1.96</v>
      </c>
      <c r="AF265" s="162">
        <v>2.02</v>
      </c>
      <c r="AG265" s="473">
        <v>1.99</v>
      </c>
      <c r="AH265" s="263">
        <v>1.98</v>
      </c>
      <c r="AI265" s="162">
        <v>2.02</v>
      </c>
      <c r="AJ265" s="162">
        <v>2.0699999999999998</v>
      </c>
      <c r="AK265" s="473">
        <v>2.2599999999999998</v>
      </c>
      <c r="AL265" s="263">
        <v>2.0099999999999998</v>
      </c>
      <c r="AM265" s="162">
        <v>2.08</v>
      </c>
      <c r="AN265" s="162">
        <v>2.12</v>
      </c>
      <c r="AO265" s="473">
        <v>2.11</v>
      </c>
      <c r="AP265" s="263">
        <v>2.16</v>
      </c>
      <c r="AQ265" s="162">
        <v>2.29</v>
      </c>
      <c r="AR265" s="162"/>
      <c r="AS265" s="473"/>
      <c r="AT265" s="347"/>
      <c r="AU265" s="347"/>
      <c r="AV265" s="347"/>
      <c r="AW265" s="347"/>
      <c r="AX265" s="347"/>
      <c r="AY265" s="347"/>
      <c r="AZ265" s="347"/>
      <c r="BA265" s="347"/>
      <c r="BB265" s="347"/>
      <c r="BC265" s="347"/>
      <c r="BD265" s="347"/>
      <c r="BE265" s="347"/>
      <c r="BF265" s="347"/>
      <c r="BG265" s="347"/>
    </row>
    <row r="266" spans="1:59" s="208" customFormat="1" ht="17.25" x14ac:dyDescent="0.25">
      <c r="A266" s="225"/>
      <c r="B266" s="292" t="s">
        <v>197</v>
      </c>
      <c r="C266" s="213"/>
      <c r="E266" s="227"/>
      <c r="F266" s="225"/>
      <c r="I266" s="227"/>
      <c r="J266" s="225"/>
      <c r="L266" s="243"/>
      <c r="N266" s="225"/>
      <c r="R266" s="225"/>
      <c r="V266" s="225"/>
      <c r="Y266" s="227"/>
      <c r="Z266" s="225"/>
      <c r="AC266" s="227"/>
      <c r="AD266" s="225"/>
      <c r="AG266" s="227"/>
      <c r="AH266" s="225"/>
      <c r="AK266" s="227"/>
      <c r="AL266" s="225"/>
      <c r="AO266" s="227"/>
      <c r="AP266" s="225"/>
      <c r="AS266" s="227"/>
    </row>
    <row r="267" spans="1:59" s="208" customFormat="1" x14ac:dyDescent="0.25">
      <c r="A267" s="225"/>
      <c r="B267" s="227" t="s">
        <v>52</v>
      </c>
      <c r="C267" s="213">
        <v>90198</v>
      </c>
      <c r="D267" s="249">
        <v>89990</v>
      </c>
      <c r="E267" s="291">
        <v>208586</v>
      </c>
      <c r="F267" s="262">
        <f t="shared" ref="F267:K268" si="485">+F14+F114+F165+F64</f>
        <v>252737</v>
      </c>
      <c r="G267" s="249">
        <f t="shared" si="485"/>
        <v>278032</v>
      </c>
      <c r="H267" s="249">
        <f t="shared" si="485"/>
        <v>282666</v>
      </c>
      <c r="I267" s="291">
        <f t="shared" si="485"/>
        <v>270467</v>
      </c>
      <c r="J267" s="262">
        <f t="shared" si="485"/>
        <v>260068.5</v>
      </c>
      <c r="K267" s="249">
        <f t="shared" si="485"/>
        <v>260198</v>
      </c>
      <c r="L267" s="214">
        <f>+L14+L114+L165+L64-1</f>
        <v>283564</v>
      </c>
      <c r="M267" s="249">
        <f>+M14+M114+M165+M64</f>
        <v>276590</v>
      </c>
      <c r="N267" s="262">
        <f>+N14+N114+N165+N64</f>
        <v>245041</v>
      </c>
      <c r="O267" s="249">
        <f t="shared" ref="O267:Q268" si="486">+O14+O114+O165+O64+O216</f>
        <v>343936</v>
      </c>
      <c r="P267" s="249">
        <f t="shared" si="486"/>
        <v>481715</v>
      </c>
      <c r="Q267" s="249">
        <f t="shared" si="486"/>
        <v>428160</v>
      </c>
      <c r="R267" s="262">
        <f t="shared" ref="R267:S267" si="487">+R14+R114+R165+R64+R216</f>
        <v>383231</v>
      </c>
      <c r="S267" s="249">
        <f t="shared" si="487"/>
        <v>196769</v>
      </c>
      <c r="T267" s="249">
        <f t="shared" ref="T267:U267" si="488">+T14+T114+T165+T64+T216</f>
        <v>384236</v>
      </c>
      <c r="U267" s="249">
        <f t="shared" si="488"/>
        <v>441367.4</v>
      </c>
      <c r="V267" s="262">
        <f t="shared" ref="V267:W267" si="489">+V14+V114+V165+V64+V216</f>
        <v>390297.7</v>
      </c>
      <c r="W267" s="249">
        <f t="shared" si="489"/>
        <v>435703</v>
      </c>
      <c r="X267" s="249">
        <f>+X14+X114+X165+X64+X216-1</f>
        <v>461593.2</v>
      </c>
      <c r="Y267" s="291">
        <f>+Y14+Y114+Y165+Y64+Y216</f>
        <v>399853</v>
      </c>
      <c r="Z267" s="262">
        <v>370272</v>
      </c>
      <c r="AA267" s="249">
        <v>381445</v>
      </c>
      <c r="AB267" s="249">
        <v>388460</v>
      </c>
      <c r="AC267" s="291">
        <v>377627</v>
      </c>
      <c r="AD267" s="262">
        <v>344052</v>
      </c>
      <c r="AE267" s="249">
        <v>380861</v>
      </c>
      <c r="AF267" s="249">
        <v>406135</v>
      </c>
      <c r="AG267" s="291">
        <v>377498</v>
      </c>
      <c r="AH267" s="262">
        <v>353382</v>
      </c>
      <c r="AI267" s="249">
        <v>397682</v>
      </c>
      <c r="AJ267" s="249">
        <v>431584</v>
      </c>
      <c r="AK267" s="291">
        <v>403328</v>
      </c>
      <c r="AL267" s="262">
        <v>348940</v>
      </c>
      <c r="AM267" s="249">
        <v>401210</v>
      </c>
      <c r="AN267" s="249">
        <v>464803</v>
      </c>
      <c r="AO267" s="291">
        <v>401592</v>
      </c>
      <c r="AP267" s="262">
        <v>359802</v>
      </c>
      <c r="AQ267" s="249">
        <v>389811</v>
      </c>
      <c r="AR267" s="249"/>
      <c r="AS267" s="291"/>
    </row>
    <row r="268" spans="1:59" s="208" customFormat="1" x14ac:dyDescent="0.25">
      <c r="A268" s="225"/>
      <c r="B268" s="227" t="s">
        <v>53</v>
      </c>
      <c r="C268" s="213">
        <v>2575</v>
      </c>
      <c r="D268" s="249">
        <v>4801</v>
      </c>
      <c r="E268" s="291">
        <v>24613</v>
      </c>
      <c r="F268" s="262">
        <f t="shared" si="485"/>
        <v>33979</v>
      </c>
      <c r="G268" s="249">
        <f t="shared" si="485"/>
        <v>25964</v>
      </c>
      <c r="H268" s="249">
        <f t="shared" si="485"/>
        <v>23518</v>
      </c>
      <c r="I268" s="291">
        <f t="shared" si="485"/>
        <v>26985</v>
      </c>
      <c r="J268" s="262">
        <f t="shared" si="485"/>
        <v>26125</v>
      </c>
      <c r="K268" s="249">
        <f t="shared" si="485"/>
        <v>22774</v>
      </c>
      <c r="L268" s="214">
        <f>+L15+L115+L166+L65</f>
        <v>21662</v>
      </c>
      <c r="M268" s="249">
        <f>+M15+M115+M166+M65</f>
        <v>24690</v>
      </c>
      <c r="N268" s="262">
        <f>+N15+N115+N166+N65</f>
        <v>18467</v>
      </c>
      <c r="O268" s="249">
        <f t="shared" si="486"/>
        <v>20547</v>
      </c>
      <c r="P268" s="249">
        <f t="shared" si="486"/>
        <v>36908</v>
      </c>
      <c r="Q268" s="249">
        <f t="shared" si="486"/>
        <v>33559</v>
      </c>
      <c r="R268" s="262">
        <f t="shared" ref="R268:S268" si="490">+R15+R115+R166+R65+R217</f>
        <v>34841</v>
      </c>
      <c r="S268" s="249">
        <f t="shared" si="490"/>
        <v>42987</v>
      </c>
      <c r="T268" s="249">
        <f t="shared" ref="T268:U268" si="491">+T15+T115+T166+T65+T217</f>
        <v>43479</v>
      </c>
      <c r="U268" s="249">
        <f t="shared" si="491"/>
        <v>49596.3</v>
      </c>
      <c r="V268" s="262">
        <f>+V15+V115+V166+V65+V217</f>
        <v>54311.7</v>
      </c>
      <c r="W268" s="249">
        <f t="shared" ref="W268" si="492">+W15+W115+W166+W65+W217</f>
        <v>48680</v>
      </c>
      <c r="X268" s="249">
        <f t="shared" ref="X268:Y268" si="493">+X15+X115+X166+X65+X217</f>
        <v>52183.4</v>
      </c>
      <c r="Y268" s="291">
        <f t="shared" si="493"/>
        <v>54049</v>
      </c>
      <c r="Z268" s="262">
        <f>40576+10692</f>
        <v>51268</v>
      </c>
      <c r="AA268" s="249">
        <f>31513+14654</f>
        <v>46167</v>
      </c>
      <c r="AB268" s="249">
        <f>43683+16720</f>
        <v>60403</v>
      </c>
      <c r="AC268" s="291">
        <f>33888+21278</f>
        <v>55166</v>
      </c>
      <c r="AD268" s="262">
        <f>35739+23908</f>
        <v>59647</v>
      </c>
      <c r="AE268" s="249">
        <f>38530+25633</f>
        <v>64163</v>
      </c>
      <c r="AF268" s="249">
        <f>45425+23995</f>
        <v>69420</v>
      </c>
      <c r="AG268" s="291">
        <f>44687+22867</f>
        <v>67554</v>
      </c>
      <c r="AH268" s="262">
        <f>35931+25605</f>
        <v>61536</v>
      </c>
      <c r="AI268" s="249">
        <f>41465+24541</f>
        <v>66006</v>
      </c>
      <c r="AJ268" s="249">
        <f>42354+25118</f>
        <v>67472</v>
      </c>
      <c r="AK268" s="291">
        <f>33220+21200</f>
        <v>54420</v>
      </c>
      <c r="AL268" s="262">
        <f>27183+17753</f>
        <v>44936</v>
      </c>
      <c r="AM268" s="249">
        <f>26919+18041</f>
        <v>44960</v>
      </c>
      <c r="AN268" s="249">
        <f>29060+17189</f>
        <v>46249</v>
      </c>
      <c r="AO268" s="291">
        <f>25071+20167</f>
        <v>45238</v>
      </c>
      <c r="AP268" s="262">
        <f>23439+19724</f>
        <v>43163</v>
      </c>
      <c r="AQ268" s="249">
        <f>16595+21936</f>
        <v>38531</v>
      </c>
      <c r="AR268" s="249"/>
      <c r="AS268" s="291"/>
    </row>
    <row r="269" spans="1:59" s="1" customFormat="1" x14ac:dyDescent="0.25">
      <c r="A269" s="306"/>
      <c r="B269" s="290" t="s">
        <v>54</v>
      </c>
      <c r="C269" s="139">
        <f t="shared" ref="C269:H269" si="494">+C268+C267</f>
        <v>92773</v>
      </c>
      <c r="D269" s="140">
        <f t="shared" si="494"/>
        <v>94791</v>
      </c>
      <c r="E269" s="141">
        <f t="shared" si="494"/>
        <v>233199</v>
      </c>
      <c r="F269" s="139">
        <f t="shared" si="494"/>
        <v>286716</v>
      </c>
      <c r="G269" s="140">
        <f t="shared" si="494"/>
        <v>303996</v>
      </c>
      <c r="H269" s="140">
        <f t="shared" si="494"/>
        <v>306184</v>
      </c>
      <c r="I269" s="141">
        <f t="shared" ref="I269:O269" si="495">+I268+I267</f>
        <v>297452</v>
      </c>
      <c r="J269" s="139">
        <f t="shared" si="495"/>
        <v>286193.5</v>
      </c>
      <c r="K269" s="140">
        <f t="shared" si="495"/>
        <v>282972</v>
      </c>
      <c r="L269" s="140">
        <f t="shared" si="495"/>
        <v>305226</v>
      </c>
      <c r="M269" s="140">
        <f t="shared" si="495"/>
        <v>301280</v>
      </c>
      <c r="N269" s="139">
        <f t="shared" si="495"/>
        <v>263508</v>
      </c>
      <c r="O269" s="140">
        <f t="shared" si="495"/>
        <v>364483</v>
      </c>
      <c r="P269" s="140">
        <f t="shared" ref="P269:Q269" si="496">+P268+P267</f>
        <v>518623</v>
      </c>
      <c r="Q269" s="140">
        <f t="shared" si="496"/>
        <v>461719</v>
      </c>
      <c r="R269" s="139">
        <f t="shared" ref="R269:S269" si="497">+R268+R267</f>
        <v>418072</v>
      </c>
      <c r="S269" s="140">
        <f t="shared" si="497"/>
        <v>239756</v>
      </c>
      <c r="T269" s="140">
        <f t="shared" ref="T269:U269" si="498">+T268+T267</f>
        <v>427715</v>
      </c>
      <c r="U269" s="140">
        <f t="shared" si="498"/>
        <v>490963.7</v>
      </c>
      <c r="V269" s="139">
        <f t="shared" ref="V269:W269" si="499">+V268+V267</f>
        <v>444609.4</v>
      </c>
      <c r="W269" s="140">
        <f t="shared" si="499"/>
        <v>484383</v>
      </c>
      <c r="X269" s="140">
        <f>+X268+X267+1</f>
        <v>513777.60000000003</v>
      </c>
      <c r="Y269" s="141">
        <f>+Y268+Y267</f>
        <v>453902</v>
      </c>
      <c r="Z269" s="139">
        <f t="shared" ref="Z269:AA269" si="500">+Z268+Z267</f>
        <v>421540</v>
      </c>
      <c r="AA269" s="140">
        <f t="shared" si="500"/>
        <v>427612</v>
      </c>
      <c r="AB269" s="140">
        <f>+AB268+AB267</f>
        <v>448863</v>
      </c>
      <c r="AC269" s="141">
        <f>+AC268+AC267</f>
        <v>432793</v>
      </c>
      <c r="AD269" s="139">
        <f t="shared" ref="AD269:AE269" si="501">+AD268+AD267</f>
        <v>403699</v>
      </c>
      <c r="AE269" s="140">
        <f t="shared" si="501"/>
        <v>445024</v>
      </c>
      <c r="AF269" s="140">
        <f>+AF268+AF267</f>
        <v>475555</v>
      </c>
      <c r="AG269" s="141">
        <f>+AG268+AG267</f>
        <v>445052</v>
      </c>
      <c r="AH269" s="139">
        <f t="shared" ref="AH269:AI269" si="502">+AH268+AH267</f>
        <v>414918</v>
      </c>
      <c r="AI269" s="140">
        <f t="shared" si="502"/>
        <v>463688</v>
      </c>
      <c r="AJ269" s="140">
        <f>+AJ268+AJ267</f>
        <v>499056</v>
      </c>
      <c r="AK269" s="141">
        <f>+AK268+AK267</f>
        <v>457748</v>
      </c>
      <c r="AL269" s="139">
        <f t="shared" ref="AL269:AO269" si="503">+AL268+AL267</f>
        <v>393876</v>
      </c>
      <c r="AM269" s="140">
        <f t="shared" si="503"/>
        <v>446170</v>
      </c>
      <c r="AN269" s="140">
        <f t="shared" si="503"/>
        <v>511052</v>
      </c>
      <c r="AO269" s="141">
        <f t="shared" si="503"/>
        <v>446830</v>
      </c>
      <c r="AP269" s="139">
        <f t="shared" ref="AP269:AS269" si="504">+AP268+AP267</f>
        <v>402965</v>
      </c>
      <c r="AQ269" s="140">
        <f t="shared" si="504"/>
        <v>428342</v>
      </c>
      <c r="AR269" s="140">
        <f t="shared" si="504"/>
        <v>0</v>
      </c>
      <c r="AS269" s="141">
        <f t="shared" si="504"/>
        <v>0</v>
      </c>
      <c r="AT269" s="347"/>
      <c r="AU269" s="347"/>
      <c r="AV269" s="347"/>
      <c r="AW269" s="347"/>
      <c r="AX269" s="347"/>
      <c r="AY269" s="347"/>
      <c r="AZ269" s="347"/>
      <c r="BA269" s="347"/>
      <c r="BB269" s="347"/>
      <c r="BC269" s="347"/>
      <c r="BD269" s="347"/>
      <c r="BE269" s="347"/>
      <c r="BF269" s="347"/>
      <c r="BG269" s="347"/>
    </row>
    <row r="270" spans="1:59" s="208" customFormat="1" ht="17.25" x14ac:dyDescent="0.25">
      <c r="A270" s="225"/>
      <c r="B270" s="292" t="s">
        <v>191</v>
      </c>
      <c r="C270" s="213"/>
      <c r="E270" s="227"/>
      <c r="F270" s="225"/>
      <c r="I270" s="227"/>
      <c r="J270" s="225"/>
      <c r="L270" s="243"/>
      <c r="N270" s="225"/>
      <c r="R270" s="225"/>
      <c r="V270" s="225"/>
      <c r="Y270" s="227"/>
      <c r="Z270" s="225"/>
      <c r="AC270" s="227"/>
      <c r="AD270" s="225"/>
      <c r="AG270" s="227"/>
      <c r="AH270" s="225"/>
      <c r="AK270" s="227"/>
      <c r="AL270" s="225"/>
      <c r="AO270" s="227"/>
      <c r="AP270" s="225"/>
      <c r="AS270" s="227"/>
    </row>
    <row r="271" spans="1:59" s="208" customFormat="1" x14ac:dyDescent="0.25">
      <c r="A271" s="225"/>
      <c r="B271" s="227" t="s">
        <v>52</v>
      </c>
      <c r="C271" s="213">
        <v>735</v>
      </c>
      <c r="D271" s="249">
        <v>703</v>
      </c>
      <c r="E271" s="291">
        <v>945</v>
      </c>
      <c r="F271" s="262">
        <v>1040</v>
      </c>
      <c r="G271" s="249">
        <v>870</v>
      </c>
      <c r="H271" s="249">
        <v>974</v>
      </c>
      <c r="I271" s="291">
        <v>1049</v>
      </c>
      <c r="J271" s="213">
        <v>994</v>
      </c>
      <c r="K271" s="214">
        <v>1012</v>
      </c>
      <c r="L271" s="214">
        <v>1008</v>
      </c>
      <c r="M271" s="214">
        <v>998</v>
      </c>
      <c r="N271" s="213">
        <v>1004</v>
      </c>
      <c r="O271" s="249">
        <v>1161</v>
      </c>
      <c r="P271" s="249">
        <v>1395</v>
      </c>
      <c r="Q271" s="214">
        <v>1439</v>
      </c>
      <c r="R271" s="213"/>
      <c r="S271" s="249"/>
      <c r="T271" s="249"/>
      <c r="U271" s="249"/>
      <c r="V271" s="262"/>
      <c r="W271" s="249"/>
      <c r="X271" s="249"/>
      <c r="Y271" s="291"/>
      <c r="Z271" s="262"/>
      <c r="AA271" s="249"/>
      <c r="AB271" s="249"/>
      <c r="AC271" s="291"/>
      <c r="AD271" s="262"/>
      <c r="AE271" s="249"/>
      <c r="AF271" s="249"/>
      <c r="AG271" s="291"/>
      <c r="AH271" s="262"/>
      <c r="AI271" s="249"/>
      <c r="AJ271" s="249"/>
      <c r="AK271" s="291"/>
      <c r="AL271" s="262"/>
      <c r="AM271" s="249"/>
      <c r="AN271" s="249"/>
      <c r="AO271" s="291"/>
      <c r="AP271" s="262"/>
      <c r="AQ271" s="249"/>
      <c r="AR271" s="249"/>
      <c r="AS271" s="291"/>
    </row>
    <row r="272" spans="1:59" s="208" customFormat="1" x14ac:dyDescent="0.25">
      <c r="A272" s="225"/>
      <c r="B272" s="227" t="s">
        <v>53</v>
      </c>
      <c r="C272" s="213">
        <v>19</v>
      </c>
      <c r="D272" s="249">
        <v>16</v>
      </c>
      <c r="E272" s="291">
        <v>45</v>
      </c>
      <c r="F272" s="262">
        <v>51</v>
      </c>
      <c r="G272" s="249">
        <v>65</v>
      </c>
      <c r="H272" s="249">
        <v>68</v>
      </c>
      <c r="I272" s="291">
        <v>82</v>
      </c>
      <c r="J272" s="213">
        <v>72</v>
      </c>
      <c r="K272" s="214">
        <v>68</v>
      </c>
      <c r="L272" s="214">
        <v>76</v>
      </c>
      <c r="M272" s="214">
        <v>72</v>
      </c>
      <c r="N272" s="213">
        <v>126</v>
      </c>
      <c r="O272" s="249">
        <v>80</v>
      </c>
      <c r="P272" s="249">
        <v>94</v>
      </c>
      <c r="Q272" s="214">
        <v>68</v>
      </c>
      <c r="R272" s="213"/>
      <c r="S272" s="249"/>
      <c r="T272" s="249"/>
      <c r="U272" s="249"/>
      <c r="V272" s="262"/>
      <c r="W272" s="249"/>
      <c r="X272" s="249"/>
      <c r="Y272" s="291"/>
      <c r="Z272" s="262"/>
      <c r="AA272" s="249"/>
      <c r="AB272" s="249"/>
      <c r="AC272" s="291"/>
      <c r="AD272" s="262"/>
      <c r="AE272" s="249"/>
      <c r="AF272" s="249"/>
      <c r="AG272" s="291"/>
      <c r="AH272" s="262"/>
      <c r="AI272" s="249"/>
      <c r="AJ272" s="249"/>
      <c r="AK272" s="291"/>
      <c r="AL272" s="262"/>
      <c r="AM272" s="249"/>
      <c r="AN272" s="249"/>
      <c r="AO272" s="291"/>
      <c r="AP272" s="262"/>
      <c r="AQ272" s="249"/>
      <c r="AR272" s="249"/>
      <c r="AS272" s="291"/>
    </row>
    <row r="273" spans="1:59" s="1" customFormat="1" x14ac:dyDescent="0.25">
      <c r="A273" s="306"/>
      <c r="B273" s="290" t="s">
        <v>54</v>
      </c>
      <c r="C273" s="139">
        <f>+((C271*C259)+(C272*C260))/(C261)</f>
        <v>353.86032689450224</v>
      </c>
      <c r="D273" s="140">
        <f>+((D271*D259)+(D272*D260))/(D261)</f>
        <v>290.18187660668383</v>
      </c>
      <c r="E273" s="141">
        <f>+((E271*E259)+(E272*E260))/(E261)</f>
        <v>424.3388429752066</v>
      </c>
      <c r="F273" s="139">
        <v>459</v>
      </c>
      <c r="G273" s="140">
        <v>410</v>
      </c>
      <c r="H273" s="140">
        <v>462</v>
      </c>
      <c r="I273" s="141">
        <v>549</v>
      </c>
      <c r="J273" s="139">
        <v>502</v>
      </c>
      <c r="K273" s="140">
        <v>474</v>
      </c>
      <c r="L273" s="140">
        <v>503</v>
      </c>
      <c r="M273" s="140">
        <v>484</v>
      </c>
      <c r="N273" s="139">
        <v>541</v>
      </c>
      <c r="O273" s="140">
        <v>663</v>
      </c>
      <c r="P273" s="140">
        <v>809</v>
      </c>
      <c r="Q273" s="140">
        <v>802</v>
      </c>
      <c r="R273" s="139">
        <v>766</v>
      </c>
      <c r="S273" s="140">
        <v>916</v>
      </c>
      <c r="T273" s="140">
        <v>860</v>
      </c>
      <c r="U273" s="140">
        <v>757</v>
      </c>
      <c r="V273" s="139">
        <v>762</v>
      </c>
      <c r="W273" s="140">
        <v>770</v>
      </c>
      <c r="X273" s="140">
        <v>775</v>
      </c>
      <c r="Y273" s="141">
        <v>819</v>
      </c>
      <c r="Z273" s="139">
        <v>797</v>
      </c>
      <c r="AA273" s="140">
        <v>856</v>
      </c>
      <c r="AB273" s="140">
        <v>871</v>
      </c>
      <c r="AC273" s="141">
        <v>918</v>
      </c>
      <c r="AD273" s="139">
        <v>934</v>
      </c>
      <c r="AE273" s="140">
        <v>953</v>
      </c>
      <c r="AF273" s="140">
        <v>1019</v>
      </c>
      <c r="AG273" s="141">
        <v>1034</v>
      </c>
      <c r="AH273" s="139">
        <v>1149</v>
      </c>
      <c r="AI273" s="140">
        <v>1038</v>
      </c>
      <c r="AJ273" s="140">
        <v>1108</v>
      </c>
      <c r="AK273" s="141">
        <v>1219</v>
      </c>
      <c r="AL273" s="139">
        <v>1181</v>
      </c>
      <c r="AM273" s="140">
        <v>1149</v>
      </c>
      <c r="AN273" s="140">
        <v>1122</v>
      </c>
      <c r="AO273" s="141">
        <v>1299</v>
      </c>
      <c r="AP273" s="139">
        <v>1330</v>
      </c>
      <c r="AQ273" s="140">
        <v>1544</v>
      </c>
      <c r="AR273" s="140"/>
      <c r="AS273" s="141"/>
      <c r="AT273" s="347"/>
      <c r="AU273" s="347"/>
      <c r="AV273" s="347"/>
      <c r="AW273" s="347"/>
      <c r="AX273" s="347"/>
      <c r="AY273" s="347"/>
      <c r="AZ273" s="347"/>
      <c r="BA273" s="347"/>
      <c r="BB273" s="347"/>
      <c r="BC273" s="347"/>
      <c r="BD273" s="347"/>
      <c r="BE273" s="347"/>
      <c r="BF273" s="347"/>
      <c r="BG273" s="347"/>
    </row>
    <row r="274" spans="1:59" s="208" customFormat="1" x14ac:dyDescent="0.25">
      <c r="A274" s="225"/>
      <c r="B274" s="227"/>
      <c r="C274" s="225"/>
      <c r="E274" s="227"/>
      <c r="F274" s="225"/>
      <c r="I274" s="227"/>
      <c r="J274" s="225"/>
      <c r="N274" s="225"/>
      <c r="R274" s="225"/>
      <c r="V274" s="225"/>
      <c r="Y274" s="227"/>
      <c r="Z274" s="225"/>
      <c r="AC274" s="227"/>
      <c r="AD274" s="225"/>
      <c r="AG274" s="227"/>
      <c r="AH274" s="225"/>
      <c r="AK274" s="227"/>
      <c r="AL274" s="225"/>
      <c r="AO274" s="227"/>
      <c r="AP274" s="225"/>
      <c r="AS274" s="227"/>
    </row>
    <row r="275" spans="1:59" ht="15.75" x14ac:dyDescent="0.25">
      <c r="A275" s="22"/>
      <c r="B275" s="976" t="s">
        <v>164</v>
      </c>
      <c r="C275" s="976"/>
      <c r="D275" s="976"/>
      <c r="E275" s="976"/>
      <c r="F275" s="976"/>
      <c r="G275" s="976"/>
      <c r="H275" s="976"/>
      <c r="I275" s="976"/>
      <c r="J275" s="976"/>
      <c r="K275" s="976"/>
      <c r="L275" s="976"/>
      <c r="M275" s="976"/>
      <c r="N275" s="976"/>
      <c r="O275" s="976"/>
      <c r="P275" s="976"/>
      <c r="Q275" s="976"/>
      <c r="R275" s="262"/>
      <c r="S275" s="249"/>
      <c r="T275" s="249"/>
      <c r="U275" s="249"/>
      <c r="V275" s="262"/>
      <c r="W275" s="249"/>
      <c r="X275" s="249"/>
      <c r="Y275" s="291"/>
      <c r="Z275" s="262"/>
      <c r="AA275" s="249"/>
      <c r="AB275" s="249"/>
      <c r="AC275" s="291"/>
      <c r="AD275" s="262"/>
      <c r="AE275" s="249"/>
      <c r="AF275" s="249"/>
      <c r="AG275" s="291"/>
      <c r="AH275" s="262"/>
      <c r="AI275" s="249"/>
      <c r="AJ275" s="249"/>
      <c r="AK275" s="291"/>
      <c r="AL275" s="262"/>
      <c r="AM275" s="249"/>
      <c r="AN275" s="249"/>
      <c r="AO275" s="291"/>
      <c r="AP275" s="262"/>
      <c r="AQ275" s="249"/>
      <c r="AR275" s="249"/>
      <c r="AS275" s="291"/>
    </row>
    <row r="276" spans="1:59" s="208" customFormat="1" x14ac:dyDescent="0.25">
      <c r="A276" s="225"/>
      <c r="B276" s="292" t="s">
        <v>135</v>
      </c>
      <c r="C276" s="213"/>
      <c r="E276" s="227"/>
      <c r="F276" s="225"/>
      <c r="I276" s="227"/>
      <c r="J276" s="225"/>
      <c r="N276" s="225"/>
      <c r="R276" s="225"/>
      <c r="V276" s="225"/>
      <c r="Y276" s="227"/>
      <c r="Z276" s="225"/>
      <c r="AC276" s="227"/>
      <c r="AD276" s="225"/>
      <c r="AG276" s="227"/>
      <c r="AH276" s="225"/>
      <c r="AK276" s="227"/>
      <c r="AL276" s="225"/>
      <c r="AO276" s="227"/>
      <c r="AP276" s="225"/>
      <c r="AS276" s="227"/>
    </row>
    <row r="277" spans="1:59" s="208" customFormat="1" x14ac:dyDescent="0.25">
      <c r="A277" s="225"/>
      <c r="B277" s="250" t="s">
        <v>66</v>
      </c>
      <c r="C277" s="210">
        <v>687.7</v>
      </c>
      <c r="D277" s="208">
        <v>783.9</v>
      </c>
      <c r="E277" s="227">
        <f>2288.8-21</f>
        <v>2267.8000000000002</v>
      </c>
      <c r="F277" s="572">
        <v>3099.9</v>
      </c>
      <c r="G277" s="373">
        <v>2897.3</v>
      </c>
      <c r="H277" s="373">
        <v>3591.6</v>
      </c>
      <c r="I277" s="374">
        <v>3687.6</v>
      </c>
      <c r="J277" s="375">
        <f>J24+J124+J175</f>
        <v>3038.6</v>
      </c>
      <c r="K277" s="376">
        <f>K24+K124+K175</f>
        <v>3750.2</v>
      </c>
      <c r="L277" s="376">
        <f>L24+L124+L175</f>
        <v>3958.9</v>
      </c>
      <c r="M277" s="372">
        <f>M24+M124+M175</f>
        <v>4406.1000000000004</v>
      </c>
      <c r="N277" s="281">
        <f>N24+N124+N175</f>
        <v>1718.8000000000002</v>
      </c>
      <c r="O277" s="377">
        <f t="shared" ref="O277:Q278" si="505">O24+O124+O175+O226</f>
        <v>4520.2</v>
      </c>
      <c r="P277" s="377">
        <f t="shared" si="505"/>
        <v>11545.7</v>
      </c>
      <c r="Q277" s="377">
        <f t="shared" si="505"/>
        <v>9793.5</v>
      </c>
      <c r="R277" s="211">
        <v>15696</v>
      </c>
      <c r="S277" s="242">
        <v>5739</v>
      </c>
      <c r="T277" s="242">
        <v>16076</v>
      </c>
      <c r="U277" s="407">
        <v>17401</v>
      </c>
      <c r="V277" s="211">
        <v>23145</v>
      </c>
      <c r="W277" s="242">
        <v>24597</v>
      </c>
      <c r="X277" s="242">
        <v>18743</v>
      </c>
      <c r="Y277" s="407">
        <v>18670</v>
      </c>
      <c r="Z277" s="242">
        <v>21479</v>
      </c>
      <c r="AA277" s="242">
        <v>16781</v>
      </c>
      <c r="AB277" s="242">
        <v>16737</v>
      </c>
      <c r="AC277" s="407">
        <v>16668</v>
      </c>
      <c r="AD277" s="242">
        <v>16166</v>
      </c>
      <c r="AE277" s="242">
        <v>14184</v>
      </c>
      <c r="AF277" s="242">
        <v>11608</v>
      </c>
      <c r="AG277" s="407">
        <v>13636</v>
      </c>
      <c r="AH277" s="242">
        <v>13911</v>
      </c>
      <c r="AI277" s="242">
        <v>12739</v>
      </c>
      <c r="AJ277" s="242">
        <v>12250</v>
      </c>
      <c r="AK277" s="407">
        <v>12360</v>
      </c>
      <c r="AL277" s="242">
        <v>12138</v>
      </c>
      <c r="AM277" s="242">
        <v>12772</v>
      </c>
      <c r="AN277" s="242">
        <v>16249</v>
      </c>
      <c r="AO277" s="407">
        <v>19724</v>
      </c>
      <c r="AP277" s="242">
        <v>24483</v>
      </c>
      <c r="AQ277" s="242">
        <v>18643</v>
      </c>
      <c r="AR277" s="242"/>
      <c r="AS277" s="407"/>
    </row>
    <row r="278" spans="1:59" s="208" customFormat="1" x14ac:dyDescent="0.25">
      <c r="A278" s="225"/>
      <c r="B278" s="250" t="s">
        <v>132</v>
      </c>
      <c r="C278" s="276">
        <v>-615.5</v>
      </c>
      <c r="D278" s="244">
        <v>-594.20000000000005</v>
      </c>
      <c r="E278" s="315">
        <v>-2153.4</v>
      </c>
      <c r="F278" s="570">
        <v>-2857</v>
      </c>
      <c r="G278" s="244">
        <v>-2634.5</v>
      </c>
      <c r="H278" s="244">
        <v>-3029.4</v>
      </c>
      <c r="I278" s="315">
        <v>-3070.9</v>
      </c>
      <c r="J278" s="276">
        <v>-2745.5</v>
      </c>
      <c r="K278" s="244">
        <f>K25+K125+K176</f>
        <v>-2970.4</v>
      </c>
      <c r="L278" s="244">
        <f>L25+L125+L176</f>
        <v>-3224.8</v>
      </c>
      <c r="M278" s="244">
        <f>M25+M125+M176</f>
        <v>-3155.2000000000003</v>
      </c>
      <c r="N278" s="276">
        <f>N25+N125+N176</f>
        <v>-796.6</v>
      </c>
      <c r="O278" s="244">
        <f t="shared" si="505"/>
        <v>-3320.5</v>
      </c>
      <c r="P278" s="244">
        <f t="shared" si="505"/>
        <v>-8569</v>
      </c>
      <c r="Q278" s="244">
        <f t="shared" si="505"/>
        <v>-5510.7000000000007</v>
      </c>
      <c r="R278" s="361">
        <v>-7440</v>
      </c>
      <c r="S278" s="417">
        <v>-4635</v>
      </c>
      <c r="T278" s="417">
        <v>-6509</v>
      </c>
      <c r="U278" s="431">
        <v>-6139</v>
      </c>
      <c r="V278" s="361">
        <v>-7515</v>
      </c>
      <c r="W278" s="417">
        <v>-8089</v>
      </c>
      <c r="X278" s="417">
        <v>-7778</v>
      </c>
      <c r="Y278" s="431">
        <v>-8590</v>
      </c>
      <c r="Z278" s="417">
        <v>-9130</v>
      </c>
      <c r="AA278" s="417">
        <v>-7651</v>
      </c>
      <c r="AB278" s="417">
        <v>-8003</v>
      </c>
      <c r="AC278" s="431">
        <v>-7497</v>
      </c>
      <c r="AD278" s="417">
        <v>-8781</v>
      </c>
      <c r="AE278" s="417">
        <v>-9352</v>
      </c>
      <c r="AF278" s="417">
        <v>-8947</v>
      </c>
      <c r="AG278" s="431">
        <v>-9619</v>
      </c>
      <c r="AH278" s="417">
        <v>-12221</v>
      </c>
      <c r="AI278" s="417">
        <v>-9403</v>
      </c>
      <c r="AJ278" s="417">
        <v>-10514</v>
      </c>
      <c r="AK278" s="431">
        <v>-10826</v>
      </c>
      <c r="AL278" s="417">
        <v>-9341</v>
      </c>
      <c r="AM278" s="417">
        <v>-10309</v>
      </c>
      <c r="AN278" s="417">
        <v>-10919</v>
      </c>
      <c r="AO278" s="431">
        <v>-12646</v>
      </c>
      <c r="AP278" s="417">
        <v>-11541</v>
      </c>
      <c r="AQ278" s="417">
        <v>-11668</v>
      </c>
      <c r="AR278" s="417"/>
      <c r="AS278" s="431"/>
    </row>
    <row r="279" spans="1:59" s="208" customFormat="1" x14ac:dyDescent="0.25">
      <c r="A279" s="225"/>
      <c r="B279" s="250"/>
      <c r="C279" s="210">
        <f t="shared" ref="C279:I279" si="506">+C278+C277</f>
        <v>72.200000000000045</v>
      </c>
      <c r="D279" s="221">
        <f t="shared" si="506"/>
        <v>189.69999999999993</v>
      </c>
      <c r="E279" s="222">
        <f t="shared" si="506"/>
        <v>114.40000000000009</v>
      </c>
      <c r="F279" s="571">
        <f t="shared" si="506"/>
        <v>242.90000000000009</v>
      </c>
      <c r="G279" s="221">
        <f t="shared" si="506"/>
        <v>262.80000000000018</v>
      </c>
      <c r="H279" s="221">
        <f t="shared" si="506"/>
        <v>562.19999999999982</v>
      </c>
      <c r="I279" s="222">
        <f t="shared" si="506"/>
        <v>616.69999999999982</v>
      </c>
      <c r="J279" s="210">
        <f t="shared" ref="J279:Q279" si="507">+J278+J277</f>
        <v>293.09999999999991</v>
      </c>
      <c r="K279" s="221">
        <f t="shared" si="507"/>
        <v>779.79999999999973</v>
      </c>
      <c r="L279" s="221">
        <f t="shared" si="507"/>
        <v>734.09999999999991</v>
      </c>
      <c r="M279" s="221">
        <f t="shared" si="507"/>
        <v>1250.9000000000001</v>
      </c>
      <c r="N279" s="210">
        <f t="shared" si="507"/>
        <v>922.20000000000016</v>
      </c>
      <c r="O279" s="221">
        <f t="shared" si="507"/>
        <v>1199.6999999999998</v>
      </c>
      <c r="P279" s="221">
        <f>+P278+P277</f>
        <v>2976.7000000000007</v>
      </c>
      <c r="Q279" s="221">
        <f t="shared" si="507"/>
        <v>4282.7999999999993</v>
      </c>
      <c r="R279" s="425">
        <f t="shared" ref="R279:S279" si="508">+R278+R277</f>
        <v>8256</v>
      </c>
      <c r="S279" s="359">
        <f t="shared" si="508"/>
        <v>1104</v>
      </c>
      <c r="T279" s="426">
        <f t="shared" ref="T279:U279" si="509">+T278+T277</f>
        <v>9567</v>
      </c>
      <c r="U279" s="432">
        <f t="shared" si="509"/>
        <v>11262</v>
      </c>
      <c r="V279" s="425">
        <f t="shared" ref="V279:W279" si="510">+V278+V277</f>
        <v>15630</v>
      </c>
      <c r="W279" s="426">
        <f t="shared" si="510"/>
        <v>16508</v>
      </c>
      <c r="X279" s="426">
        <f t="shared" ref="X279:AA279" si="511">+X278+X277</f>
        <v>10965</v>
      </c>
      <c r="Y279" s="432">
        <f t="shared" si="511"/>
        <v>10080</v>
      </c>
      <c r="Z279" s="426">
        <f t="shared" si="511"/>
        <v>12349</v>
      </c>
      <c r="AA279" s="426">
        <f t="shared" si="511"/>
        <v>9130</v>
      </c>
      <c r="AB279" s="426">
        <f t="shared" ref="AB279:AE279" si="512">+AB278+AB277</f>
        <v>8734</v>
      </c>
      <c r="AC279" s="432">
        <f t="shared" si="512"/>
        <v>9171</v>
      </c>
      <c r="AD279" s="426">
        <f t="shared" si="512"/>
        <v>7385</v>
      </c>
      <c r="AE279" s="426">
        <f t="shared" si="512"/>
        <v>4832</v>
      </c>
      <c r="AF279" s="426">
        <f t="shared" ref="AF279:AI279" si="513">+AF278+AF277</f>
        <v>2661</v>
      </c>
      <c r="AG279" s="432">
        <f t="shared" si="513"/>
        <v>4017</v>
      </c>
      <c r="AH279" s="426">
        <f t="shared" si="513"/>
        <v>1690</v>
      </c>
      <c r="AI279" s="426">
        <f t="shared" si="513"/>
        <v>3336</v>
      </c>
      <c r="AJ279" s="426">
        <f t="shared" ref="AJ279:AO279" si="514">+AJ278+AJ277</f>
        <v>1736</v>
      </c>
      <c r="AK279" s="432">
        <f t="shared" si="514"/>
        <v>1534</v>
      </c>
      <c r="AL279" s="426">
        <f t="shared" si="514"/>
        <v>2797</v>
      </c>
      <c r="AM279" s="426">
        <f t="shared" si="514"/>
        <v>2463</v>
      </c>
      <c r="AN279" s="426">
        <f t="shared" si="514"/>
        <v>5330</v>
      </c>
      <c r="AO279" s="432">
        <f t="shared" si="514"/>
        <v>7078</v>
      </c>
      <c r="AP279" s="426">
        <f t="shared" ref="AP279:AS279" si="515">+AP278+AP277</f>
        <v>12942</v>
      </c>
      <c r="AQ279" s="426">
        <f t="shared" si="515"/>
        <v>6975</v>
      </c>
      <c r="AR279" s="426">
        <f t="shared" si="515"/>
        <v>0</v>
      </c>
      <c r="AS279" s="432">
        <f t="shared" si="515"/>
        <v>0</v>
      </c>
    </row>
    <row r="280" spans="1:59" s="208" customFormat="1" x14ac:dyDescent="0.25">
      <c r="A280" s="225"/>
      <c r="B280" s="250" t="s">
        <v>67</v>
      </c>
      <c r="C280" s="210">
        <v>-55.9</v>
      </c>
      <c r="D280" s="221">
        <v>-56.4</v>
      </c>
      <c r="E280" s="222">
        <f>-74.4-40.5</f>
        <v>-114.9</v>
      </c>
      <c r="F280" s="571">
        <v>-134</v>
      </c>
      <c r="G280" s="221">
        <v>-193.3</v>
      </c>
      <c r="H280" s="221">
        <v>-240.2</v>
      </c>
      <c r="I280" s="222">
        <v>-193.4</v>
      </c>
      <c r="J280" s="210">
        <v>-247.1</v>
      </c>
      <c r="K280" s="221">
        <v>-254.3</v>
      </c>
      <c r="L280" s="221">
        <f>L27+L127+L178-1</f>
        <v>-261.7</v>
      </c>
      <c r="M280" s="221">
        <v>-311.3</v>
      </c>
      <c r="N280" s="210">
        <v>-322.7</v>
      </c>
      <c r="O280" s="221">
        <v>-394.7</v>
      </c>
      <c r="P280" s="221">
        <v>-484.9</v>
      </c>
      <c r="Q280" s="221">
        <v>-716.8</v>
      </c>
      <c r="R280" s="213">
        <v>-555</v>
      </c>
      <c r="S280" s="214">
        <v>-349</v>
      </c>
      <c r="T280" s="214">
        <v>-518</v>
      </c>
      <c r="U280" s="259">
        <v>-650</v>
      </c>
      <c r="V280" s="213">
        <v>-552</v>
      </c>
      <c r="W280" s="214">
        <v>-608</v>
      </c>
      <c r="X280" s="214">
        <v>-678</v>
      </c>
      <c r="Y280" s="259">
        <v>-677</v>
      </c>
      <c r="Z280" s="214">
        <v>-560</v>
      </c>
      <c r="AA280" s="214">
        <v>-602</v>
      </c>
      <c r="AB280" s="214">
        <v>-625</v>
      </c>
      <c r="AC280" s="259">
        <v>-631</v>
      </c>
      <c r="AD280" s="214">
        <v>-654</v>
      </c>
      <c r="AE280" s="214">
        <v>-714</v>
      </c>
      <c r="AF280" s="214">
        <v>-780</v>
      </c>
      <c r="AG280" s="259">
        <v>-828</v>
      </c>
      <c r="AH280" s="214">
        <v>-810</v>
      </c>
      <c r="AI280" s="214">
        <v>-890</v>
      </c>
      <c r="AJ280" s="214">
        <v>-971</v>
      </c>
      <c r="AK280" s="259">
        <v>-977</v>
      </c>
      <c r="AL280" s="214">
        <v>-909</v>
      </c>
      <c r="AM280" s="214">
        <v>-1021</v>
      </c>
      <c r="AN280" s="214">
        <v>-1170</v>
      </c>
      <c r="AO280" s="259">
        <v>-1104</v>
      </c>
      <c r="AP280" s="214">
        <v>-1041</v>
      </c>
      <c r="AQ280" s="214">
        <v>-1109</v>
      </c>
      <c r="AR280" s="214"/>
      <c r="AS280" s="259"/>
    </row>
    <row r="281" spans="1:59" s="208" customFormat="1" x14ac:dyDescent="0.25">
      <c r="A281" s="225"/>
      <c r="B281" s="250" t="s">
        <v>68</v>
      </c>
      <c r="C281" s="210">
        <v>-204</v>
      </c>
      <c r="D281" s="221">
        <f>-133.3+87.1</f>
        <v>-46.200000000000017</v>
      </c>
      <c r="E281" s="222">
        <f>-61+2294.6-62</f>
        <v>2171.6</v>
      </c>
      <c r="F281" s="571">
        <f>-88.9+73.2</f>
        <v>-15.700000000000003</v>
      </c>
      <c r="G281" s="208">
        <f>-69.5-66.1</f>
        <v>-135.6</v>
      </c>
      <c r="H281" s="221">
        <v>-95.5</v>
      </c>
      <c r="I281" s="222">
        <v>-1226.4000000000001</v>
      </c>
      <c r="J281" s="210">
        <v>-32.1</v>
      </c>
      <c r="K281" s="221">
        <v>-148.1</v>
      </c>
      <c r="L281" s="221">
        <v>-102.9</v>
      </c>
      <c r="M281" s="221">
        <v>464.8</v>
      </c>
      <c r="N281" s="210">
        <v>-7.7</v>
      </c>
      <c r="O281" s="221">
        <v>619.70000000000005</v>
      </c>
      <c r="P281" s="221">
        <v>-255.3</v>
      </c>
      <c r="Q281" s="221">
        <v>-2726.2</v>
      </c>
      <c r="R281" s="213">
        <v>140</v>
      </c>
      <c r="S281" s="214">
        <v>-164</v>
      </c>
      <c r="T281" s="214">
        <v>224</v>
      </c>
      <c r="U281" s="259">
        <v>-341</v>
      </c>
      <c r="V281" s="213">
        <v>53</v>
      </c>
      <c r="W281" s="214">
        <v>-411</v>
      </c>
      <c r="X281" s="214">
        <v>-206</v>
      </c>
      <c r="Y281" s="259">
        <v>-5693</v>
      </c>
      <c r="Z281" s="214">
        <v>-442</v>
      </c>
      <c r="AA281" s="214">
        <v>371</v>
      </c>
      <c r="AB281" s="214">
        <v>-637</v>
      </c>
      <c r="AC281" s="259">
        <v>-2805</v>
      </c>
      <c r="AD281" s="214">
        <v>-266</v>
      </c>
      <c r="AE281" s="214">
        <v>1582</v>
      </c>
      <c r="AF281" s="214">
        <v>-444</v>
      </c>
      <c r="AG281" s="259">
        <v>1266</v>
      </c>
      <c r="AH281" s="214">
        <v>-154</v>
      </c>
      <c r="AI281" s="214">
        <v>-449</v>
      </c>
      <c r="AJ281" s="214">
        <v>148</v>
      </c>
      <c r="AK281" s="259">
        <v>1479</v>
      </c>
      <c r="AL281" s="214">
        <v>-553</v>
      </c>
      <c r="AM281" s="214">
        <v>-1162</v>
      </c>
      <c r="AN281" s="214">
        <v>-695</v>
      </c>
      <c r="AO281" s="259">
        <v>-430</v>
      </c>
      <c r="AP281" s="214">
        <v>-62</v>
      </c>
      <c r="AQ281" s="214">
        <v>740</v>
      </c>
      <c r="AR281" s="214"/>
      <c r="AS281" s="259"/>
    </row>
    <row r="282" spans="1:59" s="208" customFormat="1" x14ac:dyDescent="0.25">
      <c r="A282" s="225"/>
      <c r="B282" s="250" t="s">
        <v>179</v>
      </c>
      <c r="C282" s="210">
        <v>-2.8</v>
      </c>
      <c r="D282" s="221">
        <v>-3.9</v>
      </c>
      <c r="E282" s="222">
        <f>-11.9</f>
        <v>-11.9</v>
      </c>
      <c r="F282" s="571">
        <v>-13.1</v>
      </c>
      <c r="G282" s="221">
        <v>-19.100000000000001</v>
      </c>
      <c r="H282" s="221">
        <v>-19.399999999999999</v>
      </c>
      <c r="I282" s="222">
        <v>-21.6</v>
      </c>
      <c r="J282" s="210">
        <v>-10.1</v>
      </c>
      <c r="K282" s="221">
        <f>K29+K129+K180</f>
        <v>-10.8</v>
      </c>
      <c r="L282" s="221">
        <f>L29+L129+L180+0.1</f>
        <v>-52.3</v>
      </c>
      <c r="M282" s="221">
        <f>M29+M129+M180-0.1</f>
        <v>-88.799999999999983</v>
      </c>
      <c r="N282" s="210">
        <v>-4.5999999999999996</v>
      </c>
      <c r="O282" s="221">
        <f>-89.1+0.1</f>
        <v>-89</v>
      </c>
      <c r="P282" s="221">
        <v>-112.7</v>
      </c>
      <c r="Q282" s="221">
        <f>-150.8-0.9</f>
        <v>-151.70000000000002</v>
      </c>
      <c r="R282" s="213">
        <v>-330</v>
      </c>
      <c r="S282" s="214">
        <v>-56</v>
      </c>
      <c r="T282" s="214">
        <v>-445</v>
      </c>
      <c r="U282" s="259">
        <v>-795</v>
      </c>
      <c r="V282" s="213">
        <v>-830</v>
      </c>
      <c r="W282" s="214">
        <v>-743</v>
      </c>
      <c r="X282" s="214">
        <v>-572</v>
      </c>
      <c r="Y282" s="259">
        <v>-402</v>
      </c>
      <c r="Z282" s="214">
        <v>-638</v>
      </c>
      <c r="AA282" s="214">
        <v>-315</v>
      </c>
      <c r="AB282" s="214">
        <v>-373</v>
      </c>
      <c r="AC282" s="259">
        <v>-444</v>
      </c>
      <c r="AD282" s="214">
        <v>-228</v>
      </c>
      <c r="AE282" s="214">
        <v>-250</v>
      </c>
      <c r="AF282" s="214">
        <v>-84</v>
      </c>
      <c r="AG282" s="259">
        <v>-242</v>
      </c>
      <c r="AH282" s="214">
        <v>-58</v>
      </c>
      <c r="AI282" s="214">
        <v>-61</v>
      </c>
      <c r="AJ282" s="214">
        <v>-37</v>
      </c>
      <c r="AK282" s="259">
        <v>-57</v>
      </c>
      <c r="AL282" s="214">
        <v>-56</v>
      </c>
      <c r="AM282" s="214">
        <v>-54</v>
      </c>
      <c r="AN282" s="214">
        <v>-268</v>
      </c>
      <c r="AO282" s="259">
        <v>-391</v>
      </c>
      <c r="AP282" s="214">
        <v>-750</v>
      </c>
      <c r="AQ282" s="214">
        <v>-435</v>
      </c>
      <c r="AR282" s="214"/>
      <c r="AS282" s="259"/>
    </row>
    <row r="283" spans="1:59" s="208" customFormat="1" x14ac:dyDescent="0.25">
      <c r="A283" s="225"/>
      <c r="B283" s="250" t="s">
        <v>69</v>
      </c>
      <c r="C283" s="210">
        <v>4.0999999999999996</v>
      </c>
      <c r="D283" s="221">
        <v>9.1999999999999993</v>
      </c>
      <c r="E283" s="222">
        <f>-7.7+27</f>
        <v>19.3</v>
      </c>
      <c r="F283" s="570">
        <v>-42.2</v>
      </c>
      <c r="G283" s="221">
        <v>21.3</v>
      </c>
      <c r="H283" s="221">
        <v>-54.4</v>
      </c>
      <c r="I283" s="222">
        <v>40</v>
      </c>
      <c r="J283" s="210">
        <v>-2.8</v>
      </c>
      <c r="K283" s="221">
        <f>K30+K130+K181</f>
        <v>-102.6</v>
      </c>
      <c r="L283" s="221">
        <f>L30+L130+L181-0.3</f>
        <v>-106.49999999999999</v>
      </c>
      <c r="M283" s="221">
        <f>M30+M130+M181+0.2</f>
        <v>-259.2</v>
      </c>
      <c r="N283" s="210">
        <v>-10.7</v>
      </c>
      <c r="O283" s="244">
        <f>-320.1-0.1</f>
        <v>-320.20000000000005</v>
      </c>
      <c r="P283" s="244">
        <v>-409.5</v>
      </c>
      <c r="Q283" s="221">
        <v>-549.5</v>
      </c>
      <c r="R283" s="213">
        <v>-1198</v>
      </c>
      <c r="S283" s="214">
        <v>94</v>
      </c>
      <c r="T283" s="214">
        <v>-1362</v>
      </c>
      <c r="U283" s="431">
        <v>-437</v>
      </c>
      <c r="V283" s="361">
        <v>-3876</v>
      </c>
      <c r="W283" s="214">
        <v>-4255</v>
      </c>
      <c r="X283" s="214">
        <v>-2679</v>
      </c>
      <c r="Y283" s="259">
        <v>-1300</v>
      </c>
      <c r="Z283" s="214">
        <v>-3009</v>
      </c>
      <c r="AA283" s="214">
        <v>-2427</v>
      </c>
      <c r="AB283" s="214">
        <v>-2114</v>
      </c>
      <c r="AC283" s="259">
        <v>-2153</v>
      </c>
      <c r="AD283" s="214">
        <v>-1838</v>
      </c>
      <c r="AE283" s="214">
        <v>-1226</v>
      </c>
      <c r="AF283" s="214">
        <v>-509</v>
      </c>
      <c r="AG283" s="259">
        <v>-580</v>
      </c>
      <c r="AH283" s="214">
        <v>-171</v>
      </c>
      <c r="AI283" s="214">
        <v>-651</v>
      </c>
      <c r="AJ283" s="214">
        <v>-308</v>
      </c>
      <c r="AK283" s="259">
        <v>33</v>
      </c>
      <c r="AL283" s="214">
        <v>-458</v>
      </c>
      <c r="AM283" s="214">
        <v>-271</v>
      </c>
      <c r="AN283" s="214">
        <v>-942</v>
      </c>
      <c r="AO283" s="259">
        <v>-1350</v>
      </c>
      <c r="AP283" s="214">
        <v>-2980</v>
      </c>
      <c r="AQ283" s="214">
        <v>-1514</v>
      </c>
      <c r="AR283" s="214"/>
      <c r="AS283" s="259"/>
    </row>
    <row r="284" spans="1:59" s="1" customFormat="1" ht="15.75" thickBot="1" x14ac:dyDescent="0.3">
      <c r="A284" s="306"/>
      <c r="B284" s="303" t="s">
        <v>70</v>
      </c>
      <c r="C284" s="145">
        <f t="shared" ref="C284:I284" si="516">SUM(C279:C283)</f>
        <v>-186.39999999999998</v>
      </c>
      <c r="D284" s="146">
        <f t="shared" si="516"/>
        <v>92.399999999999906</v>
      </c>
      <c r="E284" s="147">
        <f t="shared" si="516"/>
        <v>2178.5</v>
      </c>
      <c r="F284" s="145">
        <f t="shared" si="516"/>
        <v>37.900000000000091</v>
      </c>
      <c r="G284" s="146">
        <f t="shared" si="516"/>
        <v>-63.899999999999821</v>
      </c>
      <c r="H284" s="146">
        <f t="shared" si="516"/>
        <v>152.69999999999982</v>
      </c>
      <c r="I284" s="147">
        <f t="shared" si="516"/>
        <v>-784.70000000000027</v>
      </c>
      <c r="J284" s="145">
        <f t="shared" ref="J284:Q284" si="517">SUM(J279:J283)</f>
        <v>0.99999999999991385</v>
      </c>
      <c r="K284" s="146">
        <f t="shared" si="517"/>
        <v>263.99999999999977</v>
      </c>
      <c r="L284" s="146">
        <f t="shared" si="517"/>
        <v>210.69999999999987</v>
      </c>
      <c r="M284" s="146">
        <f t="shared" si="517"/>
        <v>1056.4000000000001</v>
      </c>
      <c r="N284" s="145">
        <f t="shared" si="517"/>
        <v>576.50000000000011</v>
      </c>
      <c r="O284" s="146">
        <f t="shared" si="517"/>
        <v>1015.4999999999998</v>
      </c>
      <c r="P284" s="146">
        <f>SUM(P279:P283)</f>
        <v>1714.3000000000006</v>
      </c>
      <c r="Q284" s="146">
        <f t="shared" si="517"/>
        <v>138.59999999999923</v>
      </c>
      <c r="R284" s="427">
        <f t="shared" ref="R284:S284" si="518">SUM(R279:R283)</f>
        <v>6313</v>
      </c>
      <c r="S284" s="441">
        <f t="shared" si="518"/>
        <v>629</v>
      </c>
      <c r="T284" s="428">
        <f t="shared" ref="T284:U284" si="519">SUM(T279:T283)</f>
        <v>7466</v>
      </c>
      <c r="U284" s="428">
        <f t="shared" si="519"/>
        <v>9039</v>
      </c>
      <c r="V284" s="427">
        <f t="shared" ref="V284:W284" si="520">SUM(V279:V283)</f>
        <v>10425</v>
      </c>
      <c r="W284" s="428">
        <f t="shared" si="520"/>
        <v>10491</v>
      </c>
      <c r="X284" s="428">
        <f t="shared" ref="X284:AA284" si="521">SUM(X279:X283)</f>
        <v>6830</v>
      </c>
      <c r="Y284" s="471">
        <f t="shared" si="521"/>
        <v>2008</v>
      </c>
      <c r="Z284" s="427">
        <f t="shared" si="521"/>
        <v>7700</v>
      </c>
      <c r="AA284" s="428">
        <f t="shared" si="521"/>
        <v>6157</v>
      </c>
      <c r="AB284" s="428">
        <f t="shared" ref="AB284:AE284" si="522">SUM(AB279:AB283)</f>
        <v>4985</v>
      </c>
      <c r="AC284" s="471">
        <f t="shared" si="522"/>
        <v>3138</v>
      </c>
      <c r="AD284" s="427">
        <f t="shared" si="522"/>
        <v>4399</v>
      </c>
      <c r="AE284" s="428">
        <f t="shared" si="522"/>
        <v>4224</v>
      </c>
      <c r="AF284" s="428">
        <f t="shared" ref="AF284:AI284" si="523">SUM(AF279:AF283)</f>
        <v>844</v>
      </c>
      <c r="AG284" s="471">
        <f t="shared" si="523"/>
        <v>3633</v>
      </c>
      <c r="AH284" s="427">
        <f t="shared" si="523"/>
        <v>497</v>
      </c>
      <c r="AI284" s="428">
        <f t="shared" si="523"/>
        <v>1285</v>
      </c>
      <c r="AJ284" s="428">
        <f t="shared" ref="AJ284:AO284" si="524">SUM(AJ279:AJ283)</f>
        <v>568</v>
      </c>
      <c r="AK284" s="471">
        <f t="shared" si="524"/>
        <v>2012</v>
      </c>
      <c r="AL284" s="427">
        <f t="shared" si="524"/>
        <v>821</v>
      </c>
      <c r="AM284" s="649">
        <f>SUM(AM279:AM283)+2</f>
        <v>-43</v>
      </c>
      <c r="AN284" s="428">
        <f t="shared" si="524"/>
        <v>2255</v>
      </c>
      <c r="AO284" s="471">
        <f t="shared" si="524"/>
        <v>3803</v>
      </c>
      <c r="AP284" s="427">
        <f t="shared" ref="AP284" si="525">SUM(AP279:AP283)</f>
        <v>8109</v>
      </c>
      <c r="AQ284" s="649">
        <f>SUM(AQ279:AQ283)</f>
        <v>4657</v>
      </c>
      <c r="AR284" s="428">
        <f t="shared" ref="AR284:AS284" si="526">SUM(AR279:AR283)</f>
        <v>0</v>
      </c>
      <c r="AS284" s="471">
        <f t="shared" si="526"/>
        <v>0</v>
      </c>
      <c r="AT284" s="347"/>
      <c r="AU284" s="347"/>
      <c r="AV284" s="347"/>
      <c r="AW284" s="347"/>
      <c r="AX284" s="347"/>
      <c r="AY284" s="347"/>
      <c r="AZ284" s="347"/>
      <c r="BA284" s="347"/>
      <c r="BB284" s="347"/>
      <c r="BC284" s="347"/>
      <c r="BD284" s="347"/>
      <c r="BE284" s="347"/>
      <c r="BF284" s="347"/>
      <c r="BG284" s="347"/>
    </row>
    <row r="285" spans="1:59" s="208" customFormat="1" ht="15.75" thickTop="1" x14ac:dyDescent="0.25">
      <c r="A285" s="225"/>
      <c r="B285" s="250"/>
      <c r="C285" s="210"/>
      <c r="E285" s="227"/>
      <c r="F285" s="225"/>
      <c r="I285" s="227"/>
      <c r="J285" s="225"/>
      <c r="N285" s="225"/>
      <c r="R285" s="225"/>
      <c r="V285" s="225"/>
      <c r="Y285" s="227"/>
      <c r="Z285" s="225"/>
      <c r="AC285" s="227"/>
      <c r="AD285" s="225"/>
      <c r="AG285" s="227"/>
      <c r="AH285" s="225"/>
      <c r="AK285" s="227"/>
      <c r="AL285" s="225"/>
      <c r="AO285" s="227"/>
      <c r="AP285" s="225"/>
      <c r="AS285" s="227"/>
    </row>
    <row r="286" spans="1:59" ht="15" customHeight="1" x14ac:dyDescent="0.25">
      <c r="A286" s="225"/>
      <c r="B286" s="292" t="s">
        <v>134</v>
      </c>
      <c r="C286" s="34"/>
      <c r="E286" s="23"/>
      <c r="F286" s="969" t="s">
        <v>133</v>
      </c>
      <c r="G286" s="970"/>
      <c r="H286" s="970"/>
      <c r="I286" s="971"/>
      <c r="J286" s="284"/>
      <c r="K286" s="284"/>
      <c r="L286" s="285"/>
      <c r="M286" s="285"/>
      <c r="N286" s="287"/>
      <c r="O286" s="285"/>
      <c r="P286" s="285"/>
      <c r="Q286" s="285"/>
      <c r="R286" s="287"/>
      <c r="S286" s="285"/>
      <c r="T286" s="285"/>
      <c r="U286" s="285"/>
      <c r="V286" s="287"/>
      <c r="W286" s="285"/>
      <c r="X286" s="285"/>
      <c r="Y286" s="224"/>
      <c r="Z286" s="287"/>
      <c r="AA286" s="285"/>
      <c r="AB286" s="285"/>
      <c r="AC286" s="224"/>
      <c r="AD286" s="287"/>
      <c r="AE286" s="285"/>
      <c r="AF286" s="285"/>
      <c r="AG286" s="224"/>
      <c r="AH286" s="287"/>
      <c r="AI286" s="285"/>
      <c r="AJ286" s="285"/>
      <c r="AK286" s="224"/>
      <c r="AL286" s="287"/>
      <c r="AM286" s="285"/>
      <c r="AN286" s="285"/>
      <c r="AO286" s="224"/>
      <c r="AP286" s="287"/>
      <c r="AQ286" s="285"/>
      <c r="AR286" s="285"/>
      <c r="AS286" s="224"/>
    </row>
    <row r="287" spans="1:59" s="208" customFormat="1" x14ac:dyDescent="0.25">
      <c r="A287" s="225"/>
      <c r="B287" s="227" t="s">
        <v>59</v>
      </c>
      <c r="C287" s="210"/>
      <c r="E287" s="227"/>
      <c r="F287" s="225"/>
      <c r="G287" s="208">
        <f>233.6</f>
        <v>233.6</v>
      </c>
      <c r="H287" s="208">
        <v>120.7</v>
      </c>
      <c r="I287" s="227">
        <v>110.6</v>
      </c>
      <c r="J287" s="288">
        <f t="shared" ref="J287:M289" si="527">J34+J134+J185</f>
        <v>110.4</v>
      </c>
      <c r="K287" s="243">
        <f t="shared" si="527"/>
        <v>116.3</v>
      </c>
      <c r="L287" s="243">
        <f t="shared" si="527"/>
        <v>131.4</v>
      </c>
      <c r="M287" s="243">
        <f t="shared" si="527"/>
        <v>119.9</v>
      </c>
      <c r="N287" s="288">
        <f>N34+N134+N185</f>
        <v>120.6</v>
      </c>
      <c r="O287" s="243">
        <f t="shared" ref="O287:P289" si="528">O34+O134+O185+O236</f>
        <v>130.19999999999999</v>
      </c>
      <c r="P287" s="243">
        <f t="shared" si="528"/>
        <v>442.29999999999995</v>
      </c>
      <c r="Q287" s="243">
        <v>336.1</v>
      </c>
      <c r="R287" s="360">
        <v>343</v>
      </c>
      <c r="S287" s="359">
        <v>95</v>
      </c>
      <c r="T287" s="359">
        <v>305</v>
      </c>
      <c r="U287" s="359">
        <v>382</v>
      </c>
      <c r="V287" s="360">
        <v>351</v>
      </c>
      <c r="W287" s="359">
        <v>395</v>
      </c>
      <c r="X287" s="359">
        <v>443</v>
      </c>
      <c r="Y287" s="454">
        <v>388</v>
      </c>
      <c r="Z287" s="360">
        <v>384</v>
      </c>
      <c r="AA287" s="359">
        <v>555</v>
      </c>
      <c r="AB287" s="359">
        <v>590</v>
      </c>
      <c r="AC287" s="454">
        <v>594</v>
      </c>
      <c r="AD287" s="360">
        <v>646</v>
      </c>
      <c r="AE287" s="359">
        <v>699</v>
      </c>
      <c r="AF287" s="359">
        <v>622</v>
      </c>
      <c r="AG287" s="454">
        <v>585</v>
      </c>
      <c r="AH287" s="360">
        <v>545</v>
      </c>
      <c r="AI287" s="359">
        <v>630</v>
      </c>
      <c r="AJ287" s="359">
        <v>692</v>
      </c>
      <c r="AK287" s="454">
        <v>606</v>
      </c>
      <c r="AL287" s="360">
        <v>548</v>
      </c>
      <c r="AM287" s="359">
        <v>547</v>
      </c>
      <c r="AN287" s="359">
        <v>644</v>
      </c>
      <c r="AO287" s="454">
        <v>605</v>
      </c>
      <c r="AP287" s="360">
        <v>558</v>
      </c>
      <c r="AQ287" s="359">
        <v>622</v>
      </c>
      <c r="AR287" s="359"/>
      <c r="AS287" s="454"/>
    </row>
    <row r="288" spans="1:59" s="208" customFormat="1" x14ac:dyDescent="0.25">
      <c r="A288" s="225"/>
      <c r="B288" s="227" t="s">
        <v>61</v>
      </c>
      <c r="C288" s="210">
        <v>68.099999999999994</v>
      </c>
      <c r="D288" s="208">
        <f>41.5+0.3</f>
        <v>41.8</v>
      </c>
      <c r="E288" s="227">
        <f>67+0.2+148.7+1.2</f>
        <v>217.09999999999997</v>
      </c>
      <c r="F288" s="225">
        <f>23.7+1.6+94.9</f>
        <v>120.2</v>
      </c>
      <c r="G288" s="208">
        <f>166.2</f>
        <v>166.2</v>
      </c>
      <c r="H288" s="208">
        <v>82.2</v>
      </c>
      <c r="I288" s="227">
        <v>198.8</v>
      </c>
      <c r="J288" s="289">
        <f t="shared" si="527"/>
        <v>77.099999999999994</v>
      </c>
      <c r="K288" s="243">
        <f t="shared" si="527"/>
        <v>66.400000000000006</v>
      </c>
      <c r="L288" s="243">
        <f t="shared" si="527"/>
        <v>101.6</v>
      </c>
      <c r="M288" s="243">
        <f t="shared" si="527"/>
        <v>219.3</v>
      </c>
      <c r="N288" s="289">
        <f>N35+N135+N186</f>
        <v>56</v>
      </c>
      <c r="O288" s="243">
        <f t="shared" si="528"/>
        <v>251.9</v>
      </c>
      <c r="P288" s="277">
        <f t="shared" si="528"/>
        <v>421.34999999999997</v>
      </c>
      <c r="Q288" s="243">
        <f>436.5+37.1</f>
        <v>473.6</v>
      </c>
      <c r="R288" s="360">
        <v>225</v>
      </c>
      <c r="S288" s="359">
        <v>131</v>
      </c>
      <c r="T288" s="359">
        <v>206</v>
      </c>
      <c r="U288" s="359">
        <v>490</v>
      </c>
      <c r="V288" s="360">
        <v>249</v>
      </c>
      <c r="W288" s="359">
        <v>419</v>
      </c>
      <c r="X288" s="359">
        <v>449</v>
      </c>
      <c r="Y288" s="454">
        <v>903</v>
      </c>
      <c r="Z288" s="360">
        <v>386</v>
      </c>
      <c r="AA288" s="359">
        <v>429</v>
      </c>
      <c r="AB288" s="359">
        <v>465</v>
      </c>
      <c r="AC288" s="454">
        <v>775</v>
      </c>
      <c r="AD288" s="360">
        <v>351</v>
      </c>
      <c r="AE288" s="359">
        <v>435</v>
      </c>
      <c r="AF288" s="359">
        <v>484</v>
      </c>
      <c r="AG288" s="454">
        <v>787</v>
      </c>
      <c r="AH288" s="360">
        <v>430</v>
      </c>
      <c r="AI288" s="359">
        <v>500</v>
      </c>
      <c r="AJ288" s="359">
        <v>521</v>
      </c>
      <c r="AK288" s="259">
        <v>1116</v>
      </c>
      <c r="AL288" s="360">
        <v>470</v>
      </c>
      <c r="AM288" s="359">
        <v>649</v>
      </c>
      <c r="AN288" s="359">
        <v>656</v>
      </c>
      <c r="AO288" s="259">
        <v>1091</v>
      </c>
      <c r="AP288" s="360">
        <v>447</v>
      </c>
      <c r="AQ288" s="359">
        <v>693</v>
      </c>
      <c r="AR288" s="359"/>
      <c r="AS288" s="259"/>
    </row>
    <row r="289" spans="1:59" s="208" customFormat="1" x14ac:dyDescent="0.25">
      <c r="A289" s="225"/>
      <c r="B289" s="227" t="s">
        <v>63</v>
      </c>
      <c r="C289" s="210"/>
      <c r="E289" s="227"/>
      <c r="F289" s="225"/>
      <c r="I289" s="227">
        <v>2.2999999999999998</v>
      </c>
      <c r="J289" s="289">
        <f t="shared" si="527"/>
        <v>0</v>
      </c>
      <c r="K289" s="277">
        <f t="shared" si="527"/>
        <v>34</v>
      </c>
      <c r="L289" s="243">
        <f t="shared" si="527"/>
        <v>18.3</v>
      </c>
      <c r="M289" s="243">
        <f t="shared" si="527"/>
        <v>5.4</v>
      </c>
      <c r="N289" s="288">
        <f>N36+N136+N187</f>
        <v>2.2999999999999998</v>
      </c>
      <c r="O289" s="243">
        <f t="shared" si="528"/>
        <v>1.5</v>
      </c>
      <c r="P289" s="277">
        <f t="shared" si="528"/>
        <v>1.05</v>
      </c>
      <c r="Q289" s="243">
        <v>10.3</v>
      </c>
      <c r="R289" s="360">
        <v>12</v>
      </c>
      <c r="S289" s="359">
        <v>7.5</v>
      </c>
      <c r="T289" s="359">
        <v>0</v>
      </c>
      <c r="U289" s="359">
        <v>0</v>
      </c>
      <c r="V289" s="360">
        <v>0</v>
      </c>
      <c r="W289" s="359">
        <v>6</v>
      </c>
      <c r="X289" s="359">
        <v>56</v>
      </c>
      <c r="Y289" s="454">
        <v>140</v>
      </c>
      <c r="Z289" s="360">
        <v>204</v>
      </c>
      <c r="AA289" s="359">
        <v>201</v>
      </c>
      <c r="AB289" s="359">
        <v>208</v>
      </c>
      <c r="AC289" s="454">
        <v>311</v>
      </c>
      <c r="AD289" s="360">
        <v>164</v>
      </c>
      <c r="AE289" s="359">
        <v>277</v>
      </c>
      <c r="AF289" s="359">
        <v>334</v>
      </c>
      <c r="AG289" s="454">
        <v>262</v>
      </c>
      <c r="AH289" s="360">
        <v>154</v>
      </c>
      <c r="AI289" s="359">
        <v>290</v>
      </c>
      <c r="AJ289" s="359">
        <v>161</v>
      </c>
      <c r="AK289" s="454">
        <f>191+7</f>
        <v>198</v>
      </c>
      <c r="AL289" s="360">
        <v>167</v>
      </c>
      <c r="AM289" s="359">
        <v>165</v>
      </c>
      <c r="AN289" s="359">
        <v>154</v>
      </c>
      <c r="AO289" s="454">
        <v>189</v>
      </c>
      <c r="AP289" s="360">
        <v>128</v>
      </c>
      <c r="AQ289" s="359">
        <v>193</v>
      </c>
      <c r="AR289" s="359"/>
      <c r="AS289" s="454"/>
    </row>
    <row r="290" spans="1:59" s="1" customFormat="1" x14ac:dyDescent="0.25">
      <c r="A290" s="306"/>
      <c r="B290" s="290" t="s">
        <v>64</v>
      </c>
      <c r="C290" s="152">
        <f t="shared" ref="C290:I290" si="529">+C289+C288+C287</f>
        <v>68.099999999999994</v>
      </c>
      <c r="D290" s="153">
        <f t="shared" si="529"/>
        <v>41.8</v>
      </c>
      <c r="E290" s="154">
        <f t="shared" si="529"/>
        <v>217.09999999999997</v>
      </c>
      <c r="F290" s="152">
        <f t="shared" si="529"/>
        <v>120.2</v>
      </c>
      <c r="G290" s="153">
        <f t="shared" si="529"/>
        <v>399.79999999999995</v>
      </c>
      <c r="H290" s="153">
        <f t="shared" si="529"/>
        <v>202.9</v>
      </c>
      <c r="I290" s="154">
        <f t="shared" si="529"/>
        <v>311.70000000000005</v>
      </c>
      <c r="J290" s="152">
        <f>+J289+J288+J287-0.1</f>
        <v>187.4</v>
      </c>
      <c r="K290" s="153">
        <f t="shared" ref="K290:Q290" si="530">+K289+K288+K287</f>
        <v>216.7</v>
      </c>
      <c r="L290" s="153">
        <f t="shared" si="530"/>
        <v>251.3</v>
      </c>
      <c r="M290" s="153">
        <f t="shared" si="530"/>
        <v>344.6</v>
      </c>
      <c r="N290" s="152">
        <f t="shared" si="530"/>
        <v>178.89999999999998</v>
      </c>
      <c r="O290" s="153">
        <f t="shared" si="530"/>
        <v>383.6</v>
      </c>
      <c r="P290" s="153">
        <f>+P289+P288+P287</f>
        <v>864.69999999999993</v>
      </c>
      <c r="Q290" s="153">
        <f t="shared" si="530"/>
        <v>820</v>
      </c>
      <c r="R290" s="429">
        <f t="shared" ref="R290:S290" si="531">+R289+R288+R287</f>
        <v>580</v>
      </c>
      <c r="S290" s="430">
        <f t="shared" si="531"/>
        <v>233.5</v>
      </c>
      <c r="T290" s="430">
        <f t="shared" ref="T290:U290" si="532">+T289+T288+T287</f>
        <v>511</v>
      </c>
      <c r="U290" s="430">
        <f t="shared" si="532"/>
        <v>872</v>
      </c>
      <c r="V290" s="429">
        <f t="shared" ref="V290:W290" si="533">+V289+V288+V287</f>
        <v>600</v>
      </c>
      <c r="W290" s="430">
        <f t="shared" si="533"/>
        <v>820</v>
      </c>
      <c r="X290" s="430">
        <f t="shared" ref="X290:AA290" si="534">+X289+X288+X287</f>
        <v>948</v>
      </c>
      <c r="Y290" s="460">
        <f t="shared" si="534"/>
        <v>1431</v>
      </c>
      <c r="Z290" s="429">
        <f t="shared" si="534"/>
        <v>974</v>
      </c>
      <c r="AA290" s="430">
        <f t="shared" si="534"/>
        <v>1185</v>
      </c>
      <c r="AB290" s="156">
        <f t="shared" ref="AB290:AE290" si="535">+AB289+AB288+AB287</f>
        <v>1263</v>
      </c>
      <c r="AC290" s="460">
        <f t="shared" si="535"/>
        <v>1680</v>
      </c>
      <c r="AD290" s="155">
        <f t="shared" si="535"/>
        <v>1161</v>
      </c>
      <c r="AE290" s="156">
        <f t="shared" si="535"/>
        <v>1411</v>
      </c>
      <c r="AF290" s="156">
        <f t="shared" ref="AF290:AI290" si="536">+AF289+AF288+AF287</f>
        <v>1440</v>
      </c>
      <c r="AG290" s="460">
        <f t="shared" si="536"/>
        <v>1634</v>
      </c>
      <c r="AH290" s="155">
        <f t="shared" si="536"/>
        <v>1129</v>
      </c>
      <c r="AI290" s="156">
        <f t="shared" si="536"/>
        <v>1420</v>
      </c>
      <c r="AJ290" s="156">
        <f t="shared" ref="AJ290:AO290" si="537">+AJ289+AJ288+AJ287</f>
        <v>1374</v>
      </c>
      <c r="AK290" s="460">
        <f t="shared" si="537"/>
        <v>1920</v>
      </c>
      <c r="AL290" s="155">
        <f t="shared" si="537"/>
        <v>1185</v>
      </c>
      <c r="AM290" s="156">
        <f t="shared" si="537"/>
        <v>1361</v>
      </c>
      <c r="AN290" s="156">
        <f t="shared" si="537"/>
        <v>1454</v>
      </c>
      <c r="AO290" s="460">
        <f t="shared" si="537"/>
        <v>1885</v>
      </c>
      <c r="AP290" s="155">
        <f t="shared" ref="AP290:AS290" si="538">+AP289+AP288+AP287</f>
        <v>1133</v>
      </c>
      <c r="AQ290" s="156">
        <f t="shared" si="538"/>
        <v>1508</v>
      </c>
      <c r="AR290" s="156">
        <f t="shared" si="538"/>
        <v>0</v>
      </c>
      <c r="AS290" s="460">
        <f t="shared" si="538"/>
        <v>0</v>
      </c>
      <c r="AT290" s="347"/>
      <c r="AU290" s="347"/>
      <c r="AV290" s="347"/>
      <c r="AW290" s="347"/>
      <c r="AX290" s="347"/>
      <c r="AY290" s="347"/>
      <c r="AZ290" s="347"/>
      <c r="BA290" s="347"/>
      <c r="BB290" s="347"/>
      <c r="BC290" s="347"/>
      <c r="BD290" s="347"/>
      <c r="BE290" s="347"/>
      <c r="BF290" s="347"/>
      <c r="BG290" s="347"/>
    </row>
    <row r="291" spans="1:59" s="208" customFormat="1" x14ac:dyDescent="0.25">
      <c r="A291" s="225"/>
      <c r="B291" s="250"/>
      <c r="C291" s="210"/>
      <c r="E291" s="227"/>
      <c r="F291" s="225"/>
      <c r="I291" s="227"/>
      <c r="J291" s="225"/>
      <c r="N291" s="225"/>
      <c r="R291" s="225"/>
      <c r="V291" s="225"/>
      <c r="Y291" s="227"/>
      <c r="Z291" s="225"/>
      <c r="AC291" s="227"/>
      <c r="AD291" s="225"/>
      <c r="AG291" s="227"/>
      <c r="AH291" s="225"/>
      <c r="AK291" s="227"/>
      <c r="AL291" s="225"/>
      <c r="AO291" s="227"/>
      <c r="AP291" s="225"/>
      <c r="AS291" s="227"/>
    </row>
    <row r="292" spans="1:59" s="208" customFormat="1" ht="15.75" x14ac:dyDescent="0.25">
      <c r="A292" s="225"/>
      <c r="B292" s="328"/>
      <c r="C292" s="213"/>
      <c r="E292" s="227"/>
      <c r="F292" s="225"/>
      <c r="I292" s="227"/>
      <c r="J292" s="225"/>
      <c r="N292" s="225"/>
      <c r="R292" s="225"/>
      <c r="V292" s="225"/>
      <c r="Y292" s="227"/>
      <c r="Z292" s="225"/>
      <c r="AC292" s="227"/>
      <c r="AD292" s="225"/>
      <c r="AG292" s="227"/>
      <c r="AH292" s="225"/>
      <c r="AK292" s="227"/>
      <c r="AL292" s="225"/>
      <c r="AO292" s="227"/>
      <c r="AP292" s="225"/>
      <c r="AS292" s="227"/>
    </row>
    <row r="293" spans="1:59" s="208" customFormat="1" x14ac:dyDescent="0.25">
      <c r="A293" s="225"/>
      <c r="B293" s="292" t="s">
        <v>71</v>
      </c>
      <c r="C293" s="213"/>
      <c r="E293" s="227"/>
      <c r="F293" s="225"/>
      <c r="I293" s="227"/>
      <c r="J293" s="225"/>
      <c r="N293" s="225"/>
      <c r="R293" s="225"/>
      <c r="V293" s="225"/>
      <c r="Y293" s="227"/>
      <c r="Z293" s="225"/>
      <c r="AC293" s="227"/>
      <c r="AD293" s="225"/>
      <c r="AG293" s="227"/>
      <c r="AH293" s="225"/>
      <c r="AK293" s="227"/>
      <c r="AL293" s="225"/>
      <c r="AO293" s="227"/>
      <c r="AP293" s="225"/>
      <c r="AS293" s="227"/>
    </row>
    <row r="294" spans="1:59" s="208" customFormat="1" x14ac:dyDescent="0.25">
      <c r="A294" s="225"/>
      <c r="B294" s="227" t="s">
        <v>101</v>
      </c>
      <c r="C294" s="211">
        <v>12499</v>
      </c>
      <c r="D294" s="253">
        <v>12726</v>
      </c>
      <c r="E294" s="352">
        <v>11900</v>
      </c>
      <c r="F294" s="226">
        <v>12109</v>
      </c>
      <c r="G294" s="253">
        <v>11893</v>
      </c>
      <c r="H294" s="253">
        <v>12551</v>
      </c>
      <c r="I294" s="352">
        <v>13594</v>
      </c>
      <c r="J294" s="211">
        <v>12839</v>
      </c>
      <c r="K294" s="242">
        <v>13013</v>
      </c>
      <c r="L294" s="242">
        <v>14049</v>
      </c>
      <c r="M294" s="242">
        <v>15427</v>
      </c>
      <c r="N294" s="211">
        <v>17104</v>
      </c>
      <c r="O294" s="242">
        <v>17533</v>
      </c>
      <c r="P294" s="242">
        <v>20316</v>
      </c>
      <c r="Q294" s="242">
        <v>23558</v>
      </c>
      <c r="R294" s="211">
        <v>33192</v>
      </c>
      <c r="S294" s="242">
        <v>30942</v>
      </c>
      <c r="T294" s="242">
        <v>36840</v>
      </c>
      <c r="U294" s="242">
        <v>40310</v>
      </c>
      <c r="V294" s="211">
        <v>52722</v>
      </c>
      <c r="W294" s="242">
        <v>54158</v>
      </c>
      <c r="X294" s="242">
        <v>42347</v>
      </c>
      <c r="Y294" s="407">
        <v>38094</v>
      </c>
      <c r="Z294" s="211">
        <v>45061</v>
      </c>
      <c r="AA294" s="242">
        <v>41699</v>
      </c>
      <c r="AB294" s="242">
        <v>42269</v>
      </c>
      <c r="AC294" s="407">
        <v>41953</v>
      </c>
      <c r="AD294" s="211">
        <v>36433</v>
      </c>
      <c r="AE294" s="242">
        <v>31689</v>
      </c>
      <c r="AF294" s="242">
        <v>24479</v>
      </c>
      <c r="AG294" s="407">
        <v>24052</v>
      </c>
      <c r="AH294" s="211">
        <v>24004</v>
      </c>
      <c r="AI294" s="242">
        <v>24914</v>
      </c>
      <c r="AJ294" s="242">
        <v>23909</v>
      </c>
      <c r="AK294" s="407">
        <v>23885</v>
      </c>
      <c r="AL294" s="211">
        <v>25165</v>
      </c>
      <c r="AM294" s="242">
        <v>27240</v>
      </c>
      <c r="AN294" s="242">
        <v>32438</v>
      </c>
      <c r="AO294" s="407">
        <v>37740</v>
      </c>
      <c r="AP294" s="211">
        <v>46955</v>
      </c>
      <c r="AQ294" s="242">
        <v>40967</v>
      </c>
      <c r="AR294" s="242"/>
      <c r="AS294" s="407"/>
    </row>
    <row r="295" spans="1:59" s="208" customFormat="1" x14ac:dyDescent="0.25">
      <c r="A295" s="225"/>
      <c r="B295" s="227" t="s">
        <v>102</v>
      </c>
      <c r="C295" s="211">
        <v>832</v>
      </c>
      <c r="D295" s="253">
        <v>901</v>
      </c>
      <c r="E295" s="352">
        <v>857</v>
      </c>
      <c r="F295" s="226">
        <v>917</v>
      </c>
      <c r="G295" s="253">
        <v>901</v>
      </c>
      <c r="H295" s="253">
        <v>953</v>
      </c>
      <c r="I295" s="352">
        <v>997</v>
      </c>
      <c r="J295" s="211">
        <v>1073</v>
      </c>
      <c r="K295" s="242">
        <v>1028</v>
      </c>
      <c r="L295" s="242">
        <v>1000</v>
      </c>
      <c r="M295" s="242">
        <f t="shared" ref="M295:R295" si="539">M294/M304</f>
        <v>1078.0573025856045</v>
      </c>
      <c r="N295" s="211">
        <f t="shared" si="539"/>
        <v>1220.8422555317632</v>
      </c>
      <c r="O295" s="242">
        <f t="shared" si="539"/>
        <v>1218.4155663655315</v>
      </c>
      <c r="P295" s="242">
        <f t="shared" si="539"/>
        <v>1384.8670756646218</v>
      </c>
      <c r="Q295" s="242">
        <f t="shared" si="539"/>
        <v>1600.407608695652</v>
      </c>
      <c r="R295" s="211">
        <f t="shared" si="539"/>
        <v>2158.1274382314691</v>
      </c>
      <c r="S295" s="242">
        <f t="shared" ref="S295:T295" si="540">S294/S304</f>
        <v>1723.7883008356546</v>
      </c>
      <c r="T295" s="242">
        <f t="shared" si="540"/>
        <v>2178.5925487876993</v>
      </c>
      <c r="U295" s="242">
        <f t="shared" ref="U295:W295" si="541">U294/U304</f>
        <v>2582.3190262652147</v>
      </c>
      <c r="V295" s="211">
        <f t="shared" si="541"/>
        <v>3524.1978609625667</v>
      </c>
      <c r="W295" s="242">
        <f t="shared" si="541"/>
        <v>3832.8379334748761</v>
      </c>
      <c r="X295" s="242">
        <f t="shared" ref="X295:AA295" si="542">X294/X304</f>
        <v>2894.5317840054681</v>
      </c>
      <c r="Y295" s="407">
        <f t="shared" si="542"/>
        <v>2470.4280155642023</v>
      </c>
      <c r="Z295" s="211">
        <f t="shared" si="542"/>
        <v>2960.6438896189225</v>
      </c>
      <c r="AA295" s="242">
        <f t="shared" si="542"/>
        <v>2674.7273893521487</v>
      </c>
      <c r="AB295" s="242">
        <f t="shared" ref="AB295:AE295" si="543">AB294/AB304</f>
        <v>2479.1202346041055</v>
      </c>
      <c r="AC295" s="407">
        <f t="shared" si="543"/>
        <v>2382.3395797842136</v>
      </c>
      <c r="AD295" s="211">
        <f t="shared" si="543"/>
        <v>2051.4076576576576</v>
      </c>
      <c r="AE295" s="242">
        <f t="shared" si="543"/>
        <v>1698.2315112540193</v>
      </c>
      <c r="AF295" s="242">
        <f t="shared" ref="AF295:AI295" si="544">AF294/AF304</f>
        <v>1316.7832167832169</v>
      </c>
      <c r="AG295" s="407">
        <f t="shared" si="544"/>
        <v>1289.6514745308311</v>
      </c>
      <c r="AH295" s="211">
        <f t="shared" si="544"/>
        <v>1272.7465535524921</v>
      </c>
      <c r="AI295" s="242">
        <f t="shared" si="544"/>
        <v>1341.6262789445341</v>
      </c>
      <c r="AJ295" s="242">
        <f t="shared" ref="AJ295:AO295" si="545">AJ294/AJ304</f>
        <v>1331.2360801781736</v>
      </c>
      <c r="AK295" s="407">
        <f t="shared" si="545"/>
        <v>1335.8501118568233</v>
      </c>
      <c r="AL295" s="211">
        <f t="shared" si="545"/>
        <v>1361.7424242424242</v>
      </c>
      <c r="AM295" s="242">
        <f t="shared" si="545"/>
        <v>1489.3384363039913</v>
      </c>
      <c r="AN295" s="242">
        <f t="shared" si="545"/>
        <v>1838.8888888888889</v>
      </c>
      <c r="AO295" s="407">
        <f t="shared" si="545"/>
        <v>2205.7276446522501</v>
      </c>
      <c r="AP295" s="211">
        <f t="shared" ref="AP295:AS295" si="546">AP294/AP304</f>
        <v>2873.6230110159117</v>
      </c>
      <c r="AQ295" s="242">
        <f t="shared" si="546"/>
        <v>2485.8616504854367</v>
      </c>
      <c r="AR295" s="242" t="e">
        <f t="shared" si="546"/>
        <v>#DIV/0!</v>
      </c>
      <c r="AS295" s="407" t="e">
        <f t="shared" si="546"/>
        <v>#DIV/0!</v>
      </c>
    </row>
    <row r="296" spans="1:59" s="208" customFormat="1" x14ac:dyDescent="0.25">
      <c r="A296" s="225"/>
      <c r="B296" s="227" t="s">
        <v>107</v>
      </c>
      <c r="C296" s="211">
        <v>10268</v>
      </c>
      <c r="D296" s="253">
        <v>9532</v>
      </c>
      <c r="E296" s="352">
        <v>10571</v>
      </c>
      <c r="F296" s="226">
        <f t="shared" ref="F296:L296" si="547">-+F278/(F269-F66)*1000000</f>
        <v>11127.946062374143</v>
      </c>
      <c r="G296" s="253">
        <f t="shared" si="547"/>
        <v>9646.932169378817</v>
      </c>
      <c r="H296" s="253">
        <f t="shared" si="547"/>
        <v>11062.260361511777</v>
      </c>
      <c r="I296" s="352">
        <f t="shared" si="547"/>
        <v>11522.558083688538</v>
      </c>
      <c r="J296" s="211">
        <f t="shared" si="547"/>
        <v>10721.887020873606</v>
      </c>
      <c r="K296" s="242">
        <f t="shared" si="547"/>
        <v>11842.236406185839</v>
      </c>
      <c r="L296" s="242">
        <f t="shared" si="547"/>
        <v>11753.42875158089</v>
      </c>
      <c r="M296" s="242">
        <v>11265</v>
      </c>
      <c r="N296" s="211">
        <v>12434</v>
      </c>
      <c r="O296" s="242">
        <v>14603</v>
      </c>
      <c r="P296" s="242">
        <v>15249</v>
      </c>
      <c r="Q296" s="242">
        <v>15375</v>
      </c>
      <c r="R296" s="211">
        <v>15162</v>
      </c>
      <c r="S296" s="242">
        <v>25643</v>
      </c>
      <c r="T296" s="242">
        <v>19723</v>
      </c>
      <c r="U296" s="242">
        <v>15761</v>
      </c>
      <c r="V296" s="211">
        <v>16521</v>
      </c>
      <c r="W296" s="242">
        <v>16458</v>
      </c>
      <c r="X296" s="242">
        <v>16454</v>
      </c>
      <c r="Y296" s="407">
        <v>17744</v>
      </c>
      <c r="Z296" s="211">
        <v>17952</v>
      </c>
      <c r="AA296" s="242">
        <v>20042</v>
      </c>
      <c r="AB296" s="242">
        <v>19518</v>
      </c>
      <c r="AC296" s="407">
        <v>20672</v>
      </c>
      <c r="AD296" s="211">
        <v>21489</v>
      </c>
      <c r="AE296" s="242">
        <v>21663</v>
      </c>
      <c r="AF296" s="242">
        <v>21808</v>
      </c>
      <c r="AG296" s="407">
        <v>22798</v>
      </c>
      <c r="AH296" s="211">
        <v>26126</v>
      </c>
      <c r="AI296" s="242">
        <v>22679</v>
      </c>
      <c r="AJ296" s="242">
        <v>23481</v>
      </c>
      <c r="AK296" s="407">
        <v>23745</v>
      </c>
      <c r="AL296" s="211">
        <v>26683</v>
      </c>
      <c r="AM296" s="242">
        <v>25233</v>
      </c>
      <c r="AN296" s="242">
        <v>24094</v>
      </c>
      <c r="AO296" s="407">
        <v>27642</v>
      </c>
      <c r="AP296" s="211">
        <v>27480</v>
      </c>
      <c r="AQ296" s="242">
        <v>29195</v>
      </c>
      <c r="AR296" s="242"/>
      <c r="AS296" s="407"/>
    </row>
    <row r="297" spans="1:59" s="208" customFormat="1" x14ac:dyDescent="0.25">
      <c r="A297" s="225"/>
      <c r="B297" s="227" t="s">
        <v>108</v>
      </c>
      <c r="C297" s="211">
        <v>683</v>
      </c>
      <c r="D297" s="253">
        <v>678</v>
      </c>
      <c r="E297" s="352">
        <v>762</v>
      </c>
      <c r="F297" s="226">
        <v>842</v>
      </c>
      <c r="G297" s="253">
        <v>731</v>
      </c>
      <c r="H297" s="253">
        <v>840</v>
      </c>
      <c r="I297" s="352">
        <v>845</v>
      </c>
      <c r="J297" s="211">
        <v>896</v>
      </c>
      <c r="K297" s="242">
        <v>936</v>
      </c>
      <c r="L297" s="242">
        <v>836</v>
      </c>
      <c r="M297" s="242">
        <f t="shared" ref="M297:R297" si="548">M296/M304</f>
        <v>787.21174004192869</v>
      </c>
      <c r="N297" s="211">
        <f t="shared" si="548"/>
        <v>887.50892219842967</v>
      </c>
      <c r="O297" s="242">
        <f t="shared" si="548"/>
        <v>1014.8019457956914</v>
      </c>
      <c r="P297" s="242">
        <f t="shared" si="548"/>
        <v>1039.4683026584867</v>
      </c>
      <c r="Q297" s="242">
        <f t="shared" si="548"/>
        <v>1044.4972826086955</v>
      </c>
      <c r="R297" s="211">
        <f t="shared" si="548"/>
        <v>985.82574772431724</v>
      </c>
      <c r="S297" s="242">
        <f t="shared" ref="S297:T297" si="549">S296/S304</f>
        <v>1428.5793871866297</v>
      </c>
      <c r="T297" s="242">
        <f t="shared" si="549"/>
        <v>1166.3512714370195</v>
      </c>
      <c r="U297" s="242">
        <f t="shared" ref="U297:W297" si="550">U296/U304</f>
        <v>1009.6732863549007</v>
      </c>
      <c r="V297" s="211">
        <f t="shared" si="550"/>
        <v>1104.3449197860962</v>
      </c>
      <c r="W297" s="242">
        <f t="shared" si="550"/>
        <v>1164.7558386411888</v>
      </c>
      <c r="X297" s="242">
        <f t="shared" ref="X297:AA297" si="551">X296/X304</f>
        <v>1124.6753246753246</v>
      </c>
      <c r="Y297" s="407">
        <f t="shared" si="551"/>
        <v>1150.7133592736707</v>
      </c>
      <c r="Z297" s="357">
        <f>Z296/Z304-1</f>
        <v>1178.5006570302232</v>
      </c>
      <c r="AA297" s="242">
        <f t="shared" si="551"/>
        <v>1285.567671584349</v>
      </c>
      <c r="AB297" s="242">
        <f t="shared" ref="AB297:AC297" si="552">AB296/AB304</f>
        <v>1144.7507331378299</v>
      </c>
      <c r="AC297" s="407">
        <f t="shared" si="552"/>
        <v>1173.878478137422</v>
      </c>
      <c r="AD297" s="357">
        <f>AD296/AD304</f>
        <v>1209.966216216216</v>
      </c>
      <c r="AE297" s="242">
        <f t="shared" ref="AE297:AG297" si="553">AE296/AE304</f>
        <v>1160.9324758842445</v>
      </c>
      <c r="AF297" s="242">
        <f t="shared" si="553"/>
        <v>1173.1038192576655</v>
      </c>
      <c r="AG297" s="407">
        <f t="shared" si="553"/>
        <v>1222.4128686327078</v>
      </c>
      <c r="AH297" s="357">
        <f>AH296/AH304</f>
        <v>1385.2598091198304</v>
      </c>
      <c r="AI297" s="242">
        <f t="shared" ref="AI297:AK297" si="554">AI296/AI304</f>
        <v>1221.2708669897684</v>
      </c>
      <c r="AJ297" s="242">
        <f t="shared" si="554"/>
        <v>1307.4053452115813</v>
      </c>
      <c r="AK297" s="407">
        <f t="shared" si="554"/>
        <v>1328.020134228188</v>
      </c>
      <c r="AL297" s="357">
        <f>AL296/AL304</f>
        <v>1443.8852813852814</v>
      </c>
      <c r="AM297" s="242">
        <f t="shared" ref="AM297:AO297" si="555">AM296/AM304</f>
        <v>1379.606342263532</v>
      </c>
      <c r="AN297" s="242">
        <f t="shared" si="555"/>
        <v>1365.8730158730159</v>
      </c>
      <c r="AO297" s="407">
        <f t="shared" si="555"/>
        <v>1615.5464640561077</v>
      </c>
      <c r="AP297" s="357">
        <f>AP296/AP304</f>
        <v>1681.7625458996329</v>
      </c>
      <c r="AQ297" s="242">
        <f t="shared" ref="AQ297:AS297" si="556">AQ296/AQ304</f>
        <v>1771.5412621359224</v>
      </c>
      <c r="AR297" s="242" t="e">
        <f t="shared" si="556"/>
        <v>#DIV/0!</v>
      </c>
      <c r="AS297" s="407" t="e">
        <f t="shared" si="556"/>
        <v>#DIV/0!</v>
      </c>
    </row>
    <row r="298" spans="1:59" s="208" customFormat="1" ht="15" hidden="1" customHeight="1" x14ac:dyDescent="0.25">
      <c r="A298" s="225"/>
      <c r="B298" s="227" t="s">
        <v>109</v>
      </c>
      <c r="C298" s="226"/>
      <c r="D298" s="253"/>
      <c r="E298" s="352"/>
      <c r="F298" s="226">
        <v>11026</v>
      </c>
      <c r="G298" s="253">
        <v>9533</v>
      </c>
      <c r="H298" s="253">
        <v>11155</v>
      </c>
      <c r="I298" s="218" t="s">
        <v>77</v>
      </c>
      <c r="J298" s="219" t="s">
        <v>77</v>
      </c>
      <c r="K298" s="219" t="s">
        <v>77</v>
      </c>
      <c r="L298" s="219" t="s">
        <v>77</v>
      </c>
      <c r="M298" s="219" t="s">
        <v>77</v>
      </c>
      <c r="N298" s="220" t="s">
        <v>77</v>
      </c>
      <c r="O298" s="219" t="s">
        <v>77</v>
      </c>
      <c r="P298" s="219" t="s">
        <v>77</v>
      </c>
      <c r="Q298" s="219" t="s">
        <v>77</v>
      </c>
      <c r="R298" s="220" t="s">
        <v>77</v>
      </c>
      <c r="S298" s="219" t="s">
        <v>77</v>
      </c>
      <c r="T298" s="219" t="s">
        <v>77</v>
      </c>
      <c r="U298" s="219" t="s">
        <v>77</v>
      </c>
      <c r="V298" s="220" t="s">
        <v>77</v>
      </c>
      <c r="W298" s="219" t="s">
        <v>77</v>
      </c>
      <c r="X298" s="219" t="s">
        <v>77</v>
      </c>
      <c r="Y298" s="218" t="s">
        <v>77</v>
      </c>
      <c r="Z298" s="220" t="s">
        <v>77</v>
      </c>
      <c r="AA298" s="219" t="s">
        <v>77</v>
      </c>
      <c r="AB298" s="219" t="s">
        <v>77</v>
      </c>
      <c r="AC298" s="218" t="s">
        <v>77</v>
      </c>
      <c r="AD298" s="220" t="s">
        <v>77</v>
      </c>
      <c r="AE298" s="219" t="s">
        <v>77</v>
      </c>
      <c r="AF298" s="219" t="s">
        <v>77</v>
      </c>
      <c r="AG298" s="218" t="s">
        <v>77</v>
      </c>
      <c r="AH298" s="220" t="s">
        <v>77</v>
      </c>
      <c r="AI298" s="219" t="s">
        <v>77</v>
      </c>
      <c r="AJ298" s="219" t="s">
        <v>77</v>
      </c>
      <c r="AK298" s="218" t="s">
        <v>77</v>
      </c>
      <c r="AL298" s="220" t="s">
        <v>77</v>
      </c>
      <c r="AM298" s="219"/>
      <c r="AN298" s="219"/>
      <c r="AO298" s="218"/>
      <c r="AP298" s="220" t="s">
        <v>77</v>
      </c>
      <c r="AQ298" s="219"/>
      <c r="AR298" s="219"/>
      <c r="AS298" s="218"/>
    </row>
    <row r="299" spans="1:59" s="208" customFormat="1" ht="15" hidden="1" customHeight="1" x14ac:dyDescent="0.25">
      <c r="A299" s="225"/>
      <c r="B299" s="227" t="s">
        <v>110</v>
      </c>
      <c r="C299" s="226"/>
      <c r="D299" s="253"/>
      <c r="E299" s="352"/>
      <c r="F299" s="226">
        <v>835</v>
      </c>
      <c r="G299" s="253">
        <v>722</v>
      </c>
      <c r="H299" s="253">
        <v>847</v>
      </c>
      <c r="I299" s="218" t="s">
        <v>77</v>
      </c>
      <c r="J299" s="219" t="s">
        <v>77</v>
      </c>
      <c r="K299" s="219" t="s">
        <v>77</v>
      </c>
      <c r="L299" s="219" t="s">
        <v>77</v>
      </c>
      <c r="M299" s="219" t="s">
        <v>77</v>
      </c>
      <c r="N299" s="220" t="s">
        <v>77</v>
      </c>
      <c r="O299" s="219" t="s">
        <v>77</v>
      </c>
      <c r="P299" s="219" t="s">
        <v>77</v>
      </c>
      <c r="Q299" s="219" t="s">
        <v>77</v>
      </c>
      <c r="R299" s="220" t="s">
        <v>77</v>
      </c>
      <c r="S299" s="219" t="s">
        <v>77</v>
      </c>
      <c r="T299" s="219" t="s">
        <v>77</v>
      </c>
      <c r="U299" s="219" t="s">
        <v>77</v>
      </c>
      <c r="V299" s="220" t="s">
        <v>77</v>
      </c>
      <c r="W299" s="219" t="s">
        <v>77</v>
      </c>
      <c r="X299" s="219" t="s">
        <v>77</v>
      </c>
      <c r="Y299" s="218" t="s">
        <v>77</v>
      </c>
      <c r="Z299" s="220" t="s">
        <v>77</v>
      </c>
      <c r="AA299" s="219" t="s">
        <v>77</v>
      </c>
      <c r="AB299" s="219" t="s">
        <v>77</v>
      </c>
      <c r="AC299" s="218" t="s">
        <v>77</v>
      </c>
      <c r="AD299" s="220" t="s">
        <v>77</v>
      </c>
      <c r="AE299" s="219" t="s">
        <v>77</v>
      </c>
      <c r="AF299" s="219" t="s">
        <v>77</v>
      </c>
      <c r="AG299" s="218" t="s">
        <v>77</v>
      </c>
      <c r="AH299" s="220" t="s">
        <v>77</v>
      </c>
      <c r="AI299" s="219" t="s">
        <v>77</v>
      </c>
      <c r="AJ299" s="219" t="s">
        <v>77</v>
      </c>
      <c r="AK299" s="218" t="s">
        <v>77</v>
      </c>
      <c r="AL299" s="220" t="s">
        <v>77</v>
      </c>
      <c r="AM299" s="219"/>
      <c r="AN299" s="219"/>
      <c r="AO299" s="218"/>
      <c r="AP299" s="220" t="s">
        <v>77</v>
      </c>
      <c r="AQ299" s="219"/>
      <c r="AR299" s="219"/>
      <c r="AS299" s="218"/>
    </row>
    <row r="300" spans="1:59" s="208" customFormat="1" x14ac:dyDescent="0.25">
      <c r="A300" s="225"/>
      <c r="B300" s="227" t="s">
        <v>128</v>
      </c>
      <c r="C300" s="226"/>
      <c r="D300" s="253"/>
      <c r="E300" s="352"/>
      <c r="F300" s="226">
        <v>10590</v>
      </c>
      <c r="G300" s="253">
        <v>10152</v>
      </c>
      <c r="H300" s="253">
        <v>10229</v>
      </c>
      <c r="I300" s="352">
        <v>10641</v>
      </c>
      <c r="J300" s="211">
        <v>10186</v>
      </c>
      <c r="K300" s="242">
        <v>10025</v>
      </c>
      <c r="L300" s="242">
        <v>10834</v>
      </c>
      <c r="M300" s="242">
        <v>10576</v>
      </c>
      <c r="N300" s="211">
        <v>11841</v>
      </c>
      <c r="O300" s="242">
        <v>14204</v>
      </c>
      <c r="P300" s="242">
        <v>16190</v>
      </c>
      <c r="Q300" s="242">
        <v>15309</v>
      </c>
      <c r="R300" s="211">
        <v>15998</v>
      </c>
      <c r="S300" s="242">
        <v>24359</v>
      </c>
      <c r="T300" s="242">
        <v>16596</v>
      </c>
      <c r="U300" s="242">
        <v>17576</v>
      </c>
      <c r="V300" s="211">
        <v>17738</v>
      </c>
      <c r="W300" s="242">
        <v>16193</v>
      </c>
      <c r="X300" s="242">
        <v>15992</v>
      </c>
      <c r="Y300" s="407">
        <v>18230</v>
      </c>
      <c r="Z300" s="211">
        <v>17886</v>
      </c>
      <c r="AA300" s="242">
        <v>18438</v>
      </c>
      <c r="AB300" s="242">
        <v>19211</v>
      </c>
      <c r="AC300" s="407">
        <v>21713</v>
      </c>
      <c r="AD300" s="211">
        <v>20043</v>
      </c>
      <c r="AE300" s="242">
        <v>19416</v>
      </c>
      <c r="AF300" s="242">
        <v>20080</v>
      </c>
      <c r="AG300" s="407">
        <v>20654</v>
      </c>
      <c r="AH300" s="211">
        <v>23207</v>
      </c>
      <c r="AI300" s="242">
        <v>20056</v>
      </c>
      <c r="AJ300" s="242">
        <v>21228</v>
      </c>
      <c r="AK300" s="407">
        <v>23514</v>
      </c>
      <c r="AL300" s="211">
        <v>24599</v>
      </c>
      <c r="AM300" s="242">
        <v>23250</v>
      </c>
      <c r="AN300" s="242">
        <v>22537</v>
      </c>
      <c r="AO300" s="407">
        <v>26685</v>
      </c>
      <c r="AP300" s="211">
        <v>24629</v>
      </c>
      <c r="AQ300" s="242">
        <v>27767</v>
      </c>
      <c r="AR300" s="242"/>
      <c r="AS300" s="407"/>
    </row>
    <row r="301" spans="1:59" s="208" customFormat="1" x14ac:dyDescent="0.25">
      <c r="A301" s="225"/>
      <c r="B301" s="227" t="s">
        <v>129</v>
      </c>
      <c r="C301" s="226"/>
      <c r="D301" s="253"/>
      <c r="E301" s="352"/>
      <c r="F301" s="226">
        <v>802</v>
      </c>
      <c r="G301" s="253">
        <v>769</v>
      </c>
      <c r="H301" s="253">
        <v>776</v>
      </c>
      <c r="I301" s="352">
        <v>781</v>
      </c>
      <c r="J301" s="211">
        <v>852</v>
      </c>
      <c r="K301" s="242">
        <v>792</v>
      </c>
      <c r="L301" s="242">
        <v>771</v>
      </c>
      <c r="M301" s="242">
        <f t="shared" ref="M301:R301" si="557">M300/M304</f>
        <v>739.06359189378054</v>
      </c>
      <c r="N301" s="211">
        <f t="shared" si="557"/>
        <v>845.18201284796578</v>
      </c>
      <c r="O301" s="242">
        <f t="shared" si="557"/>
        <v>987.07435719249474</v>
      </c>
      <c r="P301" s="242">
        <f t="shared" si="557"/>
        <v>1103.612815269257</v>
      </c>
      <c r="Q301" s="242">
        <f t="shared" si="557"/>
        <v>1040.0135869565217</v>
      </c>
      <c r="R301" s="211">
        <f t="shared" si="557"/>
        <v>1040.1820546163849</v>
      </c>
      <c r="S301" s="242">
        <f t="shared" ref="S301:T301" si="558">S300/S304</f>
        <v>1357.0473537604457</v>
      </c>
      <c r="T301" s="242">
        <f t="shared" si="558"/>
        <v>981.43110585452393</v>
      </c>
      <c r="U301" s="242">
        <f t="shared" ref="U301:W301" si="559">U300/U304</f>
        <v>1125.9449071108265</v>
      </c>
      <c r="V301" s="211">
        <f t="shared" si="559"/>
        <v>1185.6951871657752</v>
      </c>
      <c r="W301" s="242">
        <f t="shared" si="559"/>
        <v>1146.0014154281669</v>
      </c>
      <c r="X301" s="242">
        <f t="shared" ref="X301:AA301" si="560">X300/X304</f>
        <v>1093.0963773069036</v>
      </c>
      <c r="Y301" s="407">
        <f t="shared" si="560"/>
        <v>1182.2308690012969</v>
      </c>
      <c r="Z301" s="211">
        <f t="shared" si="560"/>
        <v>1175.1642575558476</v>
      </c>
      <c r="AA301" s="242">
        <f t="shared" si="560"/>
        <v>1182.6812059012188</v>
      </c>
      <c r="AB301" s="242">
        <f t="shared" ref="AB301:AE301" si="561">AB300/AB304</f>
        <v>1126.7448680351906</v>
      </c>
      <c r="AC301" s="407">
        <f t="shared" si="561"/>
        <v>1232.992617830778</v>
      </c>
      <c r="AD301" s="211">
        <f t="shared" si="561"/>
        <v>1128.5472972972973</v>
      </c>
      <c r="AE301" s="242">
        <f t="shared" si="561"/>
        <v>1040.5144694533763</v>
      </c>
      <c r="AF301" s="242">
        <f t="shared" ref="AF301:AI301" si="562">AF300/AF304</f>
        <v>1080.1506186121571</v>
      </c>
      <c r="AG301" s="407">
        <f t="shared" si="562"/>
        <v>1107.4530831099196</v>
      </c>
      <c r="AH301" s="211">
        <f t="shared" si="562"/>
        <v>1230.4878048780488</v>
      </c>
      <c r="AI301" s="242">
        <f t="shared" si="562"/>
        <v>1080.0215401184707</v>
      </c>
      <c r="AJ301" s="242">
        <f t="shared" ref="AJ301:AO301" si="563">AJ300/AJ304</f>
        <v>1181.9599109131402</v>
      </c>
      <c r="AK301" s="407">
        <f t="shared" si="563"/>
        <v>1315.1006711409398</v>
      </c>
      <c r="AL301" s="211">
        <f t="shared" si="563"/>
        <v>1331.1147186147186</v>
      </c>
      <c r="AM301" s="242">
        <f t="shared" si="563"/>
        <v>1271.1864406779662</v>
      </c>
      <c r="AN301" s="242">
        <f t="shared" si="563"/>
        <v>1277.6077097505668</v>
      </c>
      <c r="AO301" s="407">
        <f t="shared" si="563"/>
        <v>1559.614260666277</v>
      </c>
      <c r="AP301" s="211">
        <f t="shared" ref="AP301:AS301" si="564">AP300/AP304</f>
        <v>1507.2827417380661</v>
      </c>
      <c r="AQ301" s="242">
        <f t="shared" si="564"/>
        <v>1684.8907766990292</v>
      </c>
      <c r="AR301" s="242" t="e">
        <f t="shared" si="564"/>
        <v>#DIV/0!</v>
      </c>
      <c r="AS301" s="407" t="e">
        <f t="shared" si="564"/>
        <v>#DIV/0!</v>
      </c>
    </row>
    <row r="302" spans="1:59" s="208" customFormat="1" x14ac:dyDescent="0.25">
      <c r="A302" s="225"/>
      <c r="B302" s="227" t="s">
        <v>136</v>
      </c>
      <c r="C302" s="226"/>
      <c r="D302" s="253"/>
      <c r="E302" s="352"/>
      <c r="F302" s="226"/>
      <c r="G302" s="253"/>
      <c r="H302" s="253"/>
      <c r="I302" s="352"/>
      <c r="J302" s="211">
        <v>10186</v>
      </c>
      <c r="K302" s="242">
        <v>10160</v>
      </c>
      <c r="L302" s="242">
        <v>10901</v>
      </c>
      <c r="M302" s="242">
        <v>10596</v>
      </c>
      <c r="N302" s="211">
        <v>11851</v>
      </c>
      <c r="O302" s="242">
        <v>14208</v>
      </c>
      <c r="P302" s="242">
        <v>16192</v>
      </c>
      <c r="Q302" s="242">
        <v>15355</v>
      </c>
      <c r="R302" s="211">
        <v>16035</v>
      </c>
      <c r="S302" s="242">
        <v>24462</v>
      </c>
      <c r="T302" s="242">
        <v>16612</v>
      </c>
      <c r="U302" s="242">
        <v>17605</v>
      </c>
      <c r="V302" s="211">
        <v>17739</v>
      </c>
      <c r="W302" s="242">
        <v>16211</v>
      </c>
      <c r="X302" s="242">
        <v>16123</v>
      </c>
      <c r="Y302" s="407">
        <v>18579</v>
      </c>
      <c r="Z302" s="211">
        <v>18419</v>
      </c>
      <c r="AA302" s="242">
        <v>18983</v>
      </c>
      <c r="AB302" s="242">
        <v>19726</v>
      </c>
      <c r="AC302" s="407">
        <v>22535</v>
      </c>
      <c r="AD302" s="211">
        <v>20507</v>
      </c>
      <c r="AE302" s="242">
        <v>20139</v>
      </c>
      <c r="AF302" s="242">
        <v>20871</v>
      </c>
      <c r="AG302" s="407">
        <v>21329</v>
      </c>
      <c r="AH302" s="211">
        <v>23641.200000000001</v>
      </c>
      <c r="AI302" s="242">
        <v>20807</v>
      </c>
      <c r="AJ302" s="242">
        <v>21610</v>
      </c>
      <c r="AK302" s="407">
        <v>24006</v>
      </c>
      <c r="AL302" s="211">
        <v>25079</v>
      </c>
      <c r="AM302" s="242">
        <v>23668</v>
      </c>
      <c r="AN302" s="242">
        <v>22869</v>
      </c>
      <c r="AO302" s="407">
        <v>27155</v>
      </c>
      <c r="AP302" s="211">
        <v>24989</v>
      </c>
      <c r="AQ302" s="242">
        <v>28276</v>
      </c>
      <c r="AR302" s="242"/>
      <c r="AS302" s="407"/>
    </row>
    <row r="303" spans="1:59" s="208" customFormat="1" x14ac:dyDescent="0.25">
      <c r="A303" s="225"/>
      <c r="B303" s="227" t="s">
        <v>137</v>
      </c>
      <c r="C303" s="226"/>
      <c r="D303" s="253"/>
      <c r="E303" s="352"/>
      <c r="F303" s="226"/>
      <c r="G303" s="253"/>
      <c r="H303" s="253"/>
      <c r="I303" s="352"/>
      <c r="J303" s="360">
        <f>+J302/(J304)</f>
        <v>851.67224080267556</v>
      </c>
      <c r="K303" s="359">
        <f>+K302/(K304)</f>
        <v>803.16205533596838</v>
      </c>
      <c r="L303" s="242">
        <v>776</v>
      </c>
      <c r="M303" s="242">
        <f>M302/M304+1</f>
        <v>741.461215932914</v>
      </c>
      <c r="N303" s="211">
        <f t="shared" ref="N303:S303" si="565">N302/N304</f>
        <v>845.89578872234119</v>
      </c>
      <c r="O303" s="242">
        <f t="shared" si="565"/>
        <v>987.35232800555934</v>
      </c>
      <c r="P303" s="242">
        <f t="shared" si="565"/>
        <v>1103.749147920927</v>
      </c>
      <c r="Q303" s="242">
        <f t="shared" si="565"/>
        <v>1043.1385869565217</v>
      </c>
      <c r="R303" s="211">
        <f t="shared" si="565"/>
        <v>1042.5877763328999</v>
      </c>
      <c r="S303" s="242">
        <f t="shared" si="565"/>
        <v>1362.7855153203343</v>
      </c>
      <c r="T303" s="242">
        <f t="shared" ref="T303:U303" si="566">T302/T304</f>
        <v>982.37729154346539</v>
      </c>
      <c r="U303" s="242">
        <f t="shared" si="566"/>
        <v>1127.8026905829597</v>
      </c>
      <c r="V303" s="211">
        <f t="shared" ref="V303:W303" si="567">V302/V304</f>
        <v>1185.7620320855615</v>
      </c>
      <c r="W303" s="242">
        <f t="shared" si="567"/>
        <v>1147.2753007784854</v>
      </c>
      <c r="X303" s="242">
        <f t="shared" ref="X303:AA303" si="568">X302/X304</f>
        <v>1102.0505809979493</v>
      </c>
      <c r="Y303" s="407">
        <f t="shared" si="568"/>
        <v>1204.8638132295721</v>
      </c>
      <c r="Z303" s="211">
        <f t="shared" si="568"/>
        <v>1210.1839684625493</v>
      </c>
      <c r="AA303" s="242">
        <f t="shared" si="568"/>
        <v>1217.639512508018</v>
      </c>
      <c r="AB303" s="242">
        <f t="shared" ref="AB303:AE303" si="569">AB302/AB304</f>
        <v>1156.950146627566</v>
      </c>
      <c r="AC303" s="407">
        <f t="shared" si="569"/>
        <v>1279.6706416808631</v>
      </c>
      <c r="AD303" s="211">
        <f t="shared" si="569"/>
        <v>1154.6734234234234</v>
      </c>
      <c r="AE303" s="242">
        <f t="shared" si="569"/>
        <v>1079.2604501607716</v>
      </c>
      <c r="AF303" s="242">
        <f t="shared" ref="AF303:AI303" si="570">AF302/AF304</f>
        <v>1122.7003765465304</v>
      </c>
      <c r="AG303" s="407">
        <f t="shared" si="570"/>
        <v>1143.6461126005363</v>
      </c>
      <c r="AH303" s="211">
        <f>AH302/AH304</f>
        <v>1253.5100742311772</v>
      </c>
      <c r="AI303" s="242">
        <f t="shared" si="570"/>
        <v>1120.463112547119</v>
      </c>
      <c r="AJ303" s="242">
        <f t="shared" ref="AJ303:AK303" si="571">AJ302/AJ304</f>
        <v>1203.2293986636971</v>
      </c>
      <c r="AK303" s="407">
        <f t="shared" si="571"/>
        <v>1342.6174496644296</v>
      </c>
      <c r="AL303" s="211">
        <f>AL302/AL304</f>
        <v>1357.0887445887445</v>
      </c>
      <c r="AM303" s="242">
        <f t="shared" ref="AM303:AO303" si="572">AM302/AM304</f>
        <v>1294.0404592673592</v>
      </c>
      <c r="AN303" s="242">
        <f t="shared" si="572"/>
        <v>1296.4285714285713</v>
      </c>
      <c r="AO303" s="407">
        <f t="shared" si="572"/>
        <v>1587.0835768556401</v>
      </c>
      <c r="AP303" s="211">
        <f>AP302/AP304</f>
        <v>1529.3145654834761</v>
      </c>
      <c r="AQ303" s="242">
        <f t="shared" ref="AQ303:AS303" si="573">AQ302/AQ304</f>
        <v>1715.7766990291261</v>
      </c>
      <c r="AR303" s="242" t="e">
        <f t="shared" si="573"/>
        <v>#DIV/0!</v>
      </c>
      <c r="AS303" s="407" t="e">
        <f t="shared" si="573"/>
        <v>#DIV/0!</v>
      </c>
    </row>
    <row r="304" spans="1:59" s="208" customFormat="1" x14ac:dyDescent="0.25">
      <c r="A304" s="225"/>
      <c r="B304" s="227" t="s">
        <v>83</v>
      </c>
      <c r="C304" s="226"/>
      <c r="D304" s="253"/>
      <c r="E304" s="352"/>
      <c r="F304" s="226"/>
      <c r="G304" s="253"/>
      <c r="H304" s="253"/>
      <c r="I304" s="352"/>
      <c r="J304" s="288">
        <v>11.96</v>
      </c>
      <c r="K304" s="243">
        <v>12.65</v>
      </c>
      <c r="L304" s="243">
        <v>14.05</v>
      </c>
      <c r="M304" s="364">
        <v>14.31</v>
      </c>
      <c r="N304" s="365">
        <v>14.01</v>
      </c>
      <c r="O304" s="243">
        <v>14.39</v>
      </c>
      <c r="P304" s="364">
        <v>14.67</v>
      </c>
      <c r="Q304" s="364">
        <v>14.72</v>
      </c>
      <c r="R304" s="365">
        <v>15.38</v>
      </c>
      <c r="S304" s="243">
        <v>17.95</v>
      </c>
      <c r="T304" s="243">
        <v>16.91</v>
      </c>
      <c r="U304" s="243">
        <v>15.61</v>
      </c>
      <c r="V304" s="288">
        <v>14.96</v>
      </c>
      <c r="W304" s="243">
        <v>14.13</v>
      </c>
      <c r="X304" s="243">
        <v>14.63</v>
      </c>
      <c r="Y304" s="326">
        <v>15.42</v>
      </c>
      <c r="Z304" s="288">
        <v>15.22</v>
      </c>
      <c r="AA304" s="243">
        <v>15.59</v>
      </c>
      <c r="AB304" s="243">
        <v>17.05</v>
      </c>
      <c r="AC304" s="326">
        <v>17.61</v>
      </c>
      <c r="AD304" s="288">
        <v>17.760000000000002</v>
      </c>
      <c r="AE304" s="243">
        <v>18.66</v>
      </c>
      <c r="AF304" s="297">
        <v>18.59</v>
      </c>
      <c r="AG304" s="326">
        <v>18.649999999999999</v>
      </c>
      <c r="AH304" s="288">
        <v>18.86</v>
      </c>
      <c r="AI304" s="297">
        <v>18.57</v>
      </c>
      <c r="AJ304" s="297">
        <v>17.96</v>
      </c>
      <c r="AK304" s="326">
        <v>17.88</v>
      </c>
      <c r="AL304" s="301">
        <v>18.48</v>
      </c>
      <c r="AM304" s="297">
        <v>18.29</v>
      </c>
      <c r="AN304" s="297">
        <v>17.64</v>
      </c>
      <c r="AO304" s="326">
        <v>17.11</v>
      </c>
      <c r="AP304" s="301">
        <v>16.34</v>
      </c>
      <c r="AQ304" s="297">
        <v>16.48</v>
      </c>
      <c r="AR304" s="297"/>
      <c r="AS304" s="326"/>
    </row>
    <row r="305" spans="1:45" s="208" customFormat="1" x14ac:dyDescent="0.25">
      <c r="A305" s="307"/>
      <c r="B305" s="305"/>
      <c r="C305" s="307"/>
      <c r="D305" s="313"/>
      <c r="E305" s="305"/>
      <c r="F305" s="307"/>
      <c r="G305" s="313"/>
      <c r="H305" s="313"/>
      <c r="I305" s="305"/>
      <c r="J305" s="307"/>
      <c r="K305" s="313"/>
      <c r="L305" s="313"/>
      <c r="M305" s="313"/>
      <c r="N305" s="307"/>
      <c r="O305" s="313"/>
      <c r="P305" s="313"/>
      <c r="Q305" s="313"/>
      <c r="R305" s="307"/>
      <c r="S305" s="313"/>
      <c r="T305" s="313"/>
      <c r="U305" s="313"/>
      <c r="V305" s="307"/>
      <c r="W305" s="313"/>
      <c r="X305" s="313"/>
      <c r="Y305" s="305"/>
      <c r="Z305" s="307"/>
      <c r="AB305" s="313"/>
      <c r="AC305" s="305"/>
      <c r="AD305" s="307"/>
      <c r="AF305" s="313"/>
      <c r="AG305" s="305"/>
      <c r="AH305" s="307"/>
      <c r="AJ305" s="313"/>
      <c r="AK305" s="305"/>
      <c r="AL305" s="307"/>
      <c r="AN305" s="313"/>
      <c r="AO305" s="305"/>
      <c r="AP305" s="307"/>
      <c r="AR305" s="313"/>
      <c r="AS305" s="305"/>
    </row>
    <row r="306" spans="1:45" s="208" customFormat="1" x14ac:dyDescent="0.25">
      <c r="F306" s="348"/>
      <c r="J306" s="348"/>
      <c r="N306" s="225"/>
      <c r="R306" s="225"/>
      <c r="V306" s="225"/>
      <c r="Y306" s="227"/>
      <c r="Z306" s="225"/>
      <c r="AA306" s="336"/>
      <c r="AC306" s="227"/>
      <c r="AD306" s="225"/>
      <c r="AE306" s="336"/>
      <c r="AG306" s="227"/>
      <c r="AH306" s="225"/>
      <c r="AI306" s="336"/>
      <c r="AK306" s="227"/>
      <c r="AL306" s="225"/>
      <c r="AM306" s="336"/>
      <c r="AO306" s="227"/>
      <c r="AP306" s="225"/>
      <c r="AQ306" s="336"/>
      <c r="AS306" s="227"/>
    </row>
    <row r="307" spans="1:45" s="208" customFormat="1" ht="21" x14ac:dyDescent="0.35">
      <c r="A307" s="483"/>
      <c r="B307" s="484" t="s">
        <v>165</v>
      </c>
      <c r="C307" s="485"/>
      <c r="D307" s="486"/>
      <c r="E307" s="487"/>
      <c r="F307" s="488"/>
      <c r="G307" s="486"/>
      <c r="H307" s="486"/>
      <c r="I307" s="486"/>
      <c r="J307" s="486"/>
      <c r="K307" s="486"/>
      <c r="L307" s="486"/>
      <c r="M307" s="486"/>
      <c r="N307" s="486"/>
      <c r="O307" s="486"/>
      <c r="P307" s="486"/>
      <c r="Q307" s="486"/>
      <c r="R307" s="488"/>
      <c r="S307" s="486"/>
      <c r="T307" s="486"/>
      <c r="U307" s="486"/>
      <c r="V307" s="488"/>
      <c r="W307" s="486"/>
      <c r="X307" s="486"/>
      <c r="Y307" s="487"/>
      <c r="Z307" s="488"/>
      <c r="AA307" s="491"/>
      <c r="AB307" s="486"/>
      <c r="AC307" s="487"/>
      <c r="AD307" s="488"/>
      <c r="AE307" s="491"/>
      <c r="AF307" s="486"/>
      <c r="AG307" s="487"/>
      <c r="AH307" s="488"/>
      <c r="AI307" s="491"/>
      <c r="AJ307" s="486"/>
      <c r="AK307" s="487"/>
      <c r="AL307" s="488"/>
      <c r="AM307" s="491"/>
      <c r="AN307" s="486"/>
      <c r="AO307" s="487"/>
      <c r="AP307" s="488"/>
      <c r="AQ307" s="491"/>
      <c r="AR307" s="486"/>
      <c r="AS307" s="487"/>
    </row>
    <row r="308" spans="1:45" s="208" customFormat="1" x14ac:dyDescent="0.25">
      <c r="B308" s="329"/>
      <c r="E308" s="378"/>
      <c r="F308" s="379"/>
      <c r="G308" s="378"/>
      <c r="H308" s="378"/>
      <c r="I308" s="378"/>
      <c r="J308" s="379"/>
      <c r="K308" s="378"/>
      <c r="L308" s="378"/>
      <c r="M308" s="378"/>
      <c r="N308" s="379"/>
      <c r="O308" s="378"/>
      <c r="R308" s="225"/>
      <c r="V308" s="225"/>
      <c r="Y308" s="227"/>
      <c r="Z308" s="225"/>
      <c r="AC308" s="227"/>
      <c r="AD308" s="225"/>
      <c r="AG308" s="227"/>
      <c r="AH308" s="225"/>
      <c r="AK308" s="227"/>
      <c r="AL308" s="655" t="s">
        <v>256</v>
      </c>
      <c r="AM308" s="656"/>
      <c r="AN308" s="656"/>
      <c r="AO308" s="657"/>
      <c r="AP308" s="655"/>
      <c r="AQ308" s="656"/>
      <c r="AR308" s="656"/>
      <c r="AS308" s="657"/>
    </row>
    <row r="309" spans="1:45" s="208" customFormat="1" x14ac:dyDescent="0.25">
      <c r="B309" s="496" t="s">
        <v>242</v>
      </c>
      <c r="C309" s="564"/>
      <c r="D309" s="564"/>
      <c r="E309" s="565"/>
      <c r="F309" s="566"/>
      <c r="G309" s="565"/>
      <c r="H309" s="565"/>
      <c r="I309" s="565"/>
      <c r="J309" s="567"/>
      <c r="K309" s="565"/>
      <c r="L309" s="565"/>
      <c r="M309" s="565"/>
      <c r="N309" s="567"/>
      <c r="O309" s="565"/>
      <c r="P309" s="565"/>
      <c r="Q309" s="565"/>
      <c r="R309" s="567"/>
      <c r="S309" s="565"/>
      <c r="T309" s="565"/>
      <c r="U309" s="565"/>
      <c r="V309" s="567"/>
      <c r="W309" s="565"/>
      <c r="X309" s="565"/>
      <c r="Y309" s="568"/>
      <c r="Z309" s="567"/>
      <c r="AA309" s="565"/>
      <c r="AB309" s="257"/>
      <c r="AC309" s="477"/>
      <c r="AD309" s="270"/>
      <c r="AE309" s="257"/>
      <c r="AF309" s="257"/>
      <c r="AG309" s="477"/>
      <c r="AH309" s="270"/>
      <c r="AI309" s="257"/>
      <c r="AJ309" s="257"/>
      <c r="AK309" s="477"/>
      <c r="AL309" s="658"/>
      <c r="AM309" s="659"/>
      <c r="AN309" s="659"/>
      <c r="AO309" s="660"/>
      <c r="AP309" s="658"/>
      <c r="AQ309" s="659"/>
      <c r="AR309" s="659"/>
      <c r="AS309" s="660"/>
    </row>
    <row r="310" spans="1:45" s="208" customFormat="1" x14ac:dyDescent="0.25">
      <c r="B310" s="227" t="s">
        <v>145</v>
      </c>
      <c r="F310" s="226">
        <f>64812.4647278558/2</f>
        <v>32406.232363927898</v>
      </c>
      <c r="G310" s="253">
        <f>67666.0652721442/2</f>
        <v>33833.032636072101</v>
      </c>
      <c r="H310" s="253">
        <f>71334.859/2</f>
        <v>35667.429499999998</v>
      </c>
      <c r="I310" s="253">
        <f>75202.1913683829/2</f>
        <v>37601.095684191452</v>
      </c>
      <c r="J310" s="226">
        <f>65738.455/2</f>
        <v>32869.227500000001</v>
      </c>
      <c r="K310" s="253">
        <f>73721.731/2</f>
        <v>36860.8655</v>
      </c>
      <c r="L310" s="253">
        <f>75460.415/2</f>
        <v>37730.207499999997</v>
      </c>
      <c r="M310" s="253">
        <f>80312.826/2</f>
        <v>40156.413</v>
      </c>
      <c r="N310" s="226">
        <f>66848.531/2</f>
        <v>33424.265500000001</v>
      </c>
      <c r="O310" s="253">
        <f>85542.968/2</f>
        <v>42771.483999999997</v>
      </c>
      <c r="P310" s="253">
        <f>77674.955/2</f>
        <v>38837.477500000001</v>
      </c>
      <c r="Q310" s="253">
        <f>75277/2</f>
        <v>37638.5</v>
      </c>
      <c r="R310" s="226">
        <f>61970/2</f>
        <v>30985</v>
      </c>
      <c r="S310" s="253">
        <f>33554/2+1</f>
        <v>16778</v>
      </c>
      <c r="T310" s="253">
        <f>61304.97/2</f>
        <v>30652.485000000001</v>
      </c>
      <c r="U310" s="253">
        <v>35346</v>
      </c>
      <c r="V310" s="226">
        <v>30755</v>
      </c>
      <c r="W310" s="253">
        <v>35016.25</v>
      </c>
      <c r="X310" s="253">
        <v>35349.75</v>
      </c>
      <c r="Y310" s="352">
        <v>30367.5</v>
      </c>
      <c r="Z310" s="226">
        <v>29279</v>
      </c>
      <c r="AA310" s="253">
        <v>30771.668999999998</v>
      </c>
      <c r="AB310" s="253">
        <v>28379.9</v>
      </c>
      <c r="AC310" s="352">
        <v>30852</v>
      </c>
      <c r="AD310" s="226">
        <v>24558</v>
      </c>
      <c r="AE310" s="253">
        <v>25174</v>
      </c>
      <c r="AF310" s="253">
        <v>28020</v>
      </c>
      <c r="AG310" s="352">
        <v>32332</v>
      </c>
      <c r="AH310" s="226">
        <v>35736</v>
      </c>
      <c r="AI310" s="253">
        <v>43422</v>
      </c>
      <c r="AJ310" s="253">
        <v>44864</v>
      </c>
      <c r="AK310" s="352">
        <v>39816</v>
      </c>
      <c r="AL310" s="661"/>
      <c r="AM310" s="662"/>
      <c r="AN310" s="662"/>
      <c r="AO310" s="663"/>
      <c r="AP310" s="661"/>
      <c r="AQ310" s="662"/>
      <c r="AR310" s="662"/>
      <c r="AS310" s="663"/>
    </row>
    <row r="311" spans="1:45" s="208" customFormat="1" x14ac:dyDescent="0.25">
      <c r="B311" s="227" t="s">
        <v>146</v>
      </c>
      <c r="F311" s="226">
        <f>34560.6564572516/2</f>
        <v>17280.3282286258</v>
      </c>
      <c r="G311" s="253">
        <f>35970.4445427484/2</f>
        <v>17985.222271374201</v>
      </c>
      <c r="H311" s="253">
        <f>37797.483/2</f>
        <v>18898.7415</v>
      </c>
      <c r="I311" s="253">
        <f>39806.5889650033/2</f>
        <v>19903.294482501649</v>
      </c>
      <c r="J311" s="226">
        <f>34741.475/2</f>
        <v>17370.737499999999</v>
      </c>
      <c r="K311" s="253">
        <f>39077.071/2</f>
        <v>19538.535500000002</v>
      </c>
      <c r="L311" s="253">
        <f>39732.853/2</f>
        <v>19866.426500000001</v>
      </c>
      <c r="M311" s="253">
        <f>43002.051/2</f>
        <v>21501.0255</v>
      </c>
      <c r="N311" s="226">
        <f>35604.067/2</f>
        <v>17802.033500000001</v>
      </c>
      <c r="O311" s="253">
        <f>45586.888/2</f>
        <v>22793.444</v>
      </c>
      <c r="P311" s="253">
        <f>42119.595/2</f>
        <v>21059.797500000001</v>
      </c>
      <c r="Q311" s="253">
        <f>40992/2</f>
        <v>20496</v>
      </c>
      <c r="R311" s="226">
        <f>32956/2</f>
        <v>16478</v>
      </c>
      <c r="S311" s="253">
        <v>8951.5</v>
      </c>
      <c r="T311" s="253">
        <f>33151.144/2</f>
        <v>16575.572</v>
      </c>
      <c r="U311" s="253">
        <v>18875</v>
      </c>
      <c r="V311" s="226">
        <v>16337</v>
      </c>
      <c r="W311" s="253">
        <v>18619.25</v>
      </c>
      <c r="X311" s="253">
        <v>18923.650000000001</v>
      </c>
      <c r="Y311" s="352">
        <v>15794.45</v>
      </c>
      <c r="Z311" s="226">
        <v>14828</v>
      </c>
      <c r="AA311" s="253">
        <v>15415.1855</v>
      </c>
      <c r="AB311" s="253">
        <v>14421</v>
      </c>
      <c r="AC311" s="352">
        <v>15758</v>
      </c>
      <c r="AD311" s="226">
        <v>12225</v>
      </c>
      <c r="AE311" s="253">
        <v>12608</v>
      </c>
      <c r="AF311" s="253">
        <v>14414</v>
      </c>
      <c r="AG311" s="352">
        <v>16778</v>
      </c>
      <c r="AH311" s="226">
        <v>18698</v>
      </c>
      <c r="AI311" s="253">
        <v>22892</v>
      </c>
      <c r="AJ311" s="253">
        <v>23720</v>
      </c>
      <c r="AK311" s="352">
        <v>20562</v>
      </c>
      <c r="AL311" s="661"/>
      <c r="AM311" s="662"/>
      <c r="AN311" s="662"/>
      <c r="AO311" s="663"/>
      <c r="AP311" s="661"/>
      <c r="AQ311" s="662"/>
      <c r="AR311" s="662"/>
      <c r="AS311" s="663"/>
    </row>
    <row r="312" spans="1:45" s="208" customFormat="1" x14ac:dyDescent="0.25">
      <c r="B312" s="227" t="s">
        <v>147</v>
      </c>
      <c r="F312" s="226">
        <f>12285.6211474866/2</f>
        <v>6142.8105737432998</v>
      </c>
      <c r="G312" s="253">
        <f>12812.0938525134/2</f>
        <v>6406.0469262567003</v>
      </c>
      <c r="H312" s="253">
        <f>13531.682/2</f>
        <v>6765.8410000000003</v>
      </c>
      <c r="I312" s="253">
        <f>14299.8400669999/2</f>
        <v>7149.9200334999496</v>
      </c>
      <c r="J312" s="226">
        <f>12463.531/2</f>
        <v>6231.7655000000004</v>
      </c>
      <c r="K312" s="253">
        <f>13947.423/2</f>
        <v>6973.7115000000003</v>
      </c>
      <c r="L312" s="253">
        <f>14233.807/2</f>
        <v>7116.9035000000003</v>
      </c>
      <c r="M312" s="253">
        <f>15321.486/2</f>
        <v>7660.7430000000004</v>
      </c>
      <c r="N312" s="226">
        <f>12604.54/2</f>
        <v>6302.27</v>
      </c>
      <c r="O312" s="253">
        <f>16051.674/2</f>
        <v>8025.8370000000004</v>
      </c>
      <c r="P312" s="253">
        <f>14729.027/2</f>
        <v>7364.5135</v>
      </c>
      <c r="Q312" s="253">
        <v>7158.5</v>
      </c>
      <c r="R312" s="226">
        <v>5722</v>
      </c>
      <c r="S312" s="253">
        <v>3092.4</v>
      </c>
      <c r="T312" s="253">
        <f>11575.184/2</f>
        <v>5787.5919999999996</v>
      </c>
      <c r="U312" s="253">
        <v>6563</v>
      </c>
      <c r="V312" s="226">
        <v>5677</v>
      </c>
      <c r="W312" s="253">
        <v>6508</v>
      </c>
      <c r="X312" s="253">
        <v>6498.5</v>
      </c>
      <c r="Y312" s="352">
        <v>5530</v>
      </c>
      <c r="Z312" s="226">
        <v>5158</v>
      </c>
      <c r="AA312" s="253">
        <v>5352.3810000000012</v>
      </c>
      <c r="AB312" s="253">
        <v>5077</v>
      </c>
      <c r="AC312" s="352">
        <v>5441</v>
      </c>
      <c r="AD312" s="226">
        <v>4185</v>
      </c>
      <c r="AE312" s="253">
        <v>4328</v>
      </c>
      <c r="AF312" s="253">
        <v>4919</v>
      </c>
      <c r="AG312" s="352">
        <v>5747</v>
      </c>
      <c r="AH312" s="226">
        <v>6404</v>
      </c>
      <c r="AI312" s="253">
        <v>7808</v>
      </c>
      <c r="AJ312" s="253">
        <v>8166</v>
      </c>
      <c r="AK312" s="352">
        <v>7010</v>
      </c>
      <c r="AL312" s="661"/>
      <c r="AM312" s="662"/>
      <c r="AN312" s="662"/>
      <c r="AO312" s="663"/>
      <c r="AP312" s="661"/>
      <c r="AQ312" s="662"/>
      <c r="AR312" s="662"/>
      <c r="AS312" s="663"/>
    </row>
    <row r="313" spans="1:45" s="208" customFormat="1" x14ac:dyDescent="0.25">
      <c r="B313" s="227" t="s">
        <v>148</v>
      </c>
      <c r="F313" s="226">
        <f>553.07792327186/2</f>
        <v>276.53896163592998</v>
      </c>
      <c r="G313" s="255">
        <f>576.44007672814/2</f>
        <v>288.22003836406998</v>
      </c>
      <c r="H313" s="255">
        <f>603.582/2</f>
        <v>301.791</v>
      </c>
      <c r="I313" s="255">
        <f>636.332159442655/2</f>
        <v>318.16607972132749</v>
      </c>
      <c r="J313" s="268">
        <f>584.503/2</f>
        <v>292.25150000000002</v>
      </c>
      <c r="K313" s="255">
        <f>646.783/2</f>
        <v>323.39150000000001</v>
      </c>
      <c r="L313" s="255">
        <f>665.454/2</f>
        <v>332.72699999999998</v>
      </c>
      <c r="M313" s="255">
        <f>694.432/2</f>
        <v>347.21600000000001</v>
      </c>
      <c r="N313" s="268">
        <f>588.136/2</f>
        <v>294.06799999999998</v>
      </c>
      <c r="O313" s="255">
        <f>734.679/2</f>
        <v>367.33949999999999</v>
      </c>
      <c r="P313" s="255">
        <f>676.046/2</f>
        <v>338.02300000000002</v>
      </c>
      <c r="Q313" s="255">
        <v>333.5</v>
      </c>
      <c r="R313" s="268">
        <v>273</v>
      </c>
      <c r="S313" s="255">
        <v>155.5</v>
      </c>
      <c r="T313" s="255">
        <f>567.238/2</f>
        <v>283.61900000000003</v>
      </c>
      <c r="U313" s="255">
        <v>329</v>
      </c>
      <c r="V313" s="268">
        <v>277</v>
      </c>
      <c r="W313" s="255">
        <v>306</v>
      </c>
      <c r="X313" s="255">
        <v>311.5</v>
      </c>
      <c r="Y313" s="478">
        <v>260.5</v>
      </c>
      <c r="Z313" s="268">
        <v>253</v>
      </c>
      <c r="AA313" s="255">
        <v>258.00250000000005</v>
      </c>
      <c r="AB313" s="255">
        <v>242</v>
      </c>
      <c r="AC313" s="478">
        <v>270</v>
      </c>
      <c r="AD313" s="268">
        <v>219</v>
      </c>
      <c r="AE313" s="255">
        <v>219</v>
      </c>
      <c r="AF313" s="255">
        <v>247</v>
      </c>
      <c r="AG313" s="478">
        <v>279</v>
      </c>
      <c r="AH313" s="268">
        <v>312</v>
      </c>
      <c r="AI313" s="255">
        <v>396</v>
      </c>
      <c r="AJ313" s="255">
        <v>400</v>
      </c>
      <c r="AK313" s="478">
        <v>350</v>
      </c>
      <c r="AL313" s="664"/>
      <c r="AM313" s="665"/>
      <c r="AN313" s="665"/>
      <c r="AO313" s="666"/>
      <c r="AP313" s="664"/>
      <c r="AQ313" s="665"/>
      <c r="AR313" s="665"/>
      <c r="AS313" s="666"/>
    </row>
    <row r="314" spans="1:45" s="208" customFormat="1" x14ac:dyDescent="0.25">
      <c r="B314" s="331" t="s">
        <v>170</v>
      </c>
      <c r="C314" s="333"/>
      <c r="D314" s="333"/>
      <c r="E314" s="333"/>
      <c r="F314" s="267">
        <f>SUM(F310:F313)</f>
        <v>56105.910127932926</v>
      </c>
      <c r="G314" s="254">
        <f t="shared" ref="G314:Q314" si="574">SUM(G310:G313)</f>
        <v>58512.521872067067</v>
      </c>
      <c r="H314" s="254">
        <f t="shared" si="574"/>
        <v>61633.803</v>
      </c>
      <c r="I314" s="254">
        <f t="shared" si="574"/>
        <v>64972.476279914379</v>
      </c>
      <c r="J314" s="267">
        <f t="shared" si="574"/>
        <v>56763.981999999996</v>
      </c>
      <c r="K314" s="254">
        <f t="shared" si="574"/>
        <v>63696.503999999994</v>
      </c>
      <c r="L314" s="254">
        <f t="shared" si="574"/>
        <v>65046.264499999997</v>
      </c>
      <c r="M314" s="254">
        <f t="shared" si="574"/>
        <v>69665.397500000006</v>
      </c>
      <c r="N314" s="267">
        <f t="shared" si="574"/>
        <v>57822.637000000002</v>
      </c>
      <c r="O314" s="254">
        <f t="shared" si="574"/>
        <v>73958.104500000001</v>
      </c>
      <c r="P314" s="254">
        <f t="shared" si="574"/>
        <v>67599.811499999996</v>
      </c>
      <c r="Q314" s="254">
        <f t="shared" si="574"/>
        <v>65626.5</v>
      </c>
      <c r="R314" s="267">
        <f t="shared" ref="R314:S314" si="575">SUM(R310:R313)</f>
        <v>53458</v>
      </c>
      <c r="S314" s="254">
        <f t="shared" si="575"/>
        <v>28977.4</v>
      </c>
      <c r="T314" s="254">
        <f t="shared" ref="T314:U314" si="576">SUM(T310:T313)</f>
        <v>53299.267999999996</v>
      </c>
      <c r="U314" s="254">
        <f t="shared" si="576"/>
        <v>61113</v>
      </c>
      <c r="V314" s="267">
        <f t="shared" ref="V314:W314" si="577">SUM(V310:V313)</f>
        <v>53046</v>
      </c>
      <c r="W314" s="254">
        <f t="shared" si="577"/>
        <v>60449.5</v>
      </c>
      <c r="X314" s="254">
        <f t="shared" ref="X314:AA314" si="578">SUM(X310:X313)</f>
        <v>61083.4</v>
      </c>
      <c r="Y314" s="382">
        <f t="shared" si="578"/>
        <v>51952.45</v>
      </c>
      <c r="Z314" s="267">
        <f t="shared" si="578"/>
        <v>49518</v>
      </c>
      <c r="AA314" s="254">
        <f t="shared" si="578"/>
        <v>51797.238000000005</v>
      </c>
      <c r="AB314" s="254">
        <f t="shared" ref="AB314:AE314" si="579">SUM(AB310:AB313)</f>
        <v>48119.9</v>
      </c>
      <c r="AC314" s="382">
        <f t="shared" si="579"/>
        <v>52321</v>
      </c>
      <c r="AD314" s="267">
        <f t="shared" si="579"/>
        <v>41187</v>
      </c>
      <c r="AE314" s="254">
        <f t="shared" si="579"/>
        <v>42329</v>
      </c>
      <c r="AF314" s="254">
        <f t="shared" ref="AF314:AI314" si="580">SUM(AF310:AF313)</f>
        <v>47600</v>
      </c>
      <c r="AG314" s="382">
        <f t="shared" si="580"/>
        <v>55136</v>
      </c>
      <c r="AH314" s="267">
        <f t="shared" si="580"/>
        <v>61150</v>
      </c>
      <c r="AI314" s="254">
        <f t="shared" si="580"/>
        <v>74518</v>
      </c>
      <c r="AJ314" s="254">
        <f t="shared" ref="AJ314:AK314" si="581">SUM(AJ310:AJ313)</f>
        <v>77150</v>
      </c>
      <c r="AK314" s="382">
        <f t="shared" si="581"/>
        <v>67738</v>
      </c>
      <c r="AL314" s="667"/>
      <c r="AM314" s="668"/>
      <c r="AN314" s="668"/>
      <c r="AO314" s="669"/>
      <c r="AP314" s="667"/>
      <c r="AQ314" s="668"/>
      <c r="AR314" s="668"/>
      <c r="AS314" s="669"/>
    </row>
    <row r="315" spans="1:45" s="208" customFormat="1" x14ac:dyDescent="0.25">
      <c r="B315" s="227" t="s">
        <v>150</v>
      </c>
      <c r="F315" s="226">
        <f>19735.4511094713/2</f>
        <v>9867.7255547356508</v>
      </c>
      <c r="G315" s="253">
        <f>20712.5468905287/2</f>
        <v>10356.273445264351</v>
      </c>
      <c r="H315" s="253">
        <f>21738.412/2</f>
        <v>10869.206</v>
      </c>
      <c r="I315" s="253">
        <f>22773.9175853417/2</f>
        <v>11386.95879267085</v>
      </c>
      <c r="J315" s="226">
        <f>19941.702/2</f>
        <v>9970.8510000000006</v>
      </c>
      <c r="K315" s="253">
        <f>22634.1/2</f>
        <v>11317.05</v>
      </c>
      <c r="L315" s="253">
        <f>22934.057/2</f>
        <v>11467.0285</v>
      </c>
      <c r="M315" s="253">
        <f>24869.575/2</f>
        <v>12434.7875</v>
      </c>
      <c r="N315" s="226">
        <f>20332.116/2</f>
        <v>10166.058000000001</v>
      </c>
      <c r="O315" s="253">
        <f>26024.19/2</f>
        <v>13012.094999999999</v>
      </c>
      <c r="P315" s="253">
        <f>23832.653/2</f>
        <v>11916.326499999999</v>
      </c>
      <c r="Q315" s="253">
        <v>11303</v>
      </c>
      <c r="R315" s="226">
        <v>9392.5</v>
      </c>
      <c r="S315" s="253">
        <v>5256.5</v>
      </c>
      <c r="T315" s="253">
        <f>18559.934/2</f>
        <v>9279.9670000000006</v>
      </c>
      <c r="U315" s="253">
        <v>10617</v>
      </c>
      <c r="V315" s="226">
        <v>9254</v>
      </c>
      <c r="W315" s="253">
        <v>10620.5</v>
      </c>
      <c r="X315" s="253">
        <v>10361.75</v>
      </c>
      <c r="Y315" s="352">
        <v>9347.5</v>
      </c>
      <c r="Z315" s="226">
        <v>8255</v>
      </c>
      <c r="AA315" s="253">
        <v>8968.0449999999983</v>
      </c>
      <c r="AB315" s="253">
        <v>8212.4</v>
      </c>
      <c r="AC315" s="352">
        <v>8923</v>
      </c>
      <c r="AD315" s="226">
        <v>7053</v>
      </c>
      <c r="AE315" s="253">
        <v>7030</v>
      </c>
      <c r="AF315" s="253">
        <v>8226</v>
      </c>
      <c r="AG315" s="352">
        <v>9524</v>
      </c>
      <c r="AH315" s="226">
        <v>10934</v>
      </c>
      <c r="AI315" s="253">
        <v>13018</v>
      </c>
      <c r="AJ315" s="253">
        <v>13318</v>
      </c>
      <c r="AK315" s="352">
        <v>11566</v>
      </c>
      <c r="AL315" s="661"/>
      <c r="AM315" s="662"/>
      <c r="AN315" s="662"/>
      <c r="AO315" s="663"/>
      <c r="AP315" s="661"/>
      <c r="AQ315" s="662"/>
      <c r="AR315" s="662"/>
      <c r="AS315" s="663"/>
    </row>
    <row r="316" spans="1:45" s="208" customFormat="1" x14ac:dyDescent="0.25">
      <c r="B316" s="227" t="s">
        <v>151</v>
      </c>
      <c r="F316" s="226">
        <f>4594.99357552126/2</f>
        <v>2297.49678776063</v>
      </c>
      <c r="G316" s="255">
        <f>4787.50242447874/2</f>
        <v>2393.75121223937</v>
      </c>
      <c r="H316" s="255">
        <f>5017.631/2</f>
        <v>2508.8155000000002</v>
      </c>
      <c r="I316" s="255">
        <f>5249.60863728531/2</f>
        <v>2624.8043186426548</v>
      </c>
      <c r="J316" s="268">
        <f>4579.262/2</f>
        <v>2289.6309999999999</v>
      </c>
      <c r="K316" s="255">
        <f>5175.982/2</f>
        <v>2587.991</v>
      </c>
      <c r="L316" s="255">
        <f>5315.242/2</f>
        <v>2657.6210000000001</v>
      </c>
      <c r="M316" s="255">
        <f>5677.58/2</f>
        <v>2838.79</v>
      </c>
      <c r="N316" s="268">
        <f>4627.126/2</f>
        <v>2313.5630000000001</v>
      </c>
      <c r="O316" s="255">
        <f>5940.687/2</f>
        <v>2970.3434999999999</v>
      </c>
      <c r="P316" s="255">
        <f>5471.996/2</f>
        <v>2735.998</v>
      </c>
      <c r="Q316" s="255">
        <v>2629</v>
      </c>
      <c r="R316" s="268">
        <v>2185</v>
      </c>
      <c r="S316" s="255">
        <v>1167.4000000000001</v>
      </c>
      <c r="T316" s="255">
        <f>4225.378/2</f>
        <v>2112.6889999999999</v>
      </c>
      <c r="U316" s="255">
        <v>2439</v>
      </c>
      <c r="V316" s="268">
        <v>2096</v>
      </c>
      <c r="W316" s="255">
        <v>2423.5</v>
      </c>
      <c r="X316" s="255">
        <v>2371.75</v>
      </c>
      <c r="Y316" s="478">
        <v>2111</v>
      </c>
      <c r="Z316" s="268">
        <v>1896</v>
      </c>
      <c r="AA316" s="255">
        <v>2059.8040000000001</v>
      </c>
      <c r="AB316" s="255">
        <v>1876.4</v>
      </c>
      <c r="AC316" s="478">
        <v>2051</v>
      </c>
      <c r="AD316" s="268">
        <v>1632</v>
      </c>
      <c r="AE316" s="255">
        <v>1617</v>
      </c>
      <c r="AF316" s="255">
        <v>1886</v>
      </c>
      <c r="AG316" s="478">
        <v>2158</v>
      </c>
      <c r="AH316" s="268">
        <v>2446</v>
      </c>
      <c r="AI316" s="255">
        <v>2948</v>
      </c>
      <c r="AJ316" s="255">
        <v>3006</v>
      </c>
      <c r="AK316" s="478">
        <v>2654</v>
      </c>
      <c r="AL316" s="664"/>
      <c r="AM316" s="665"/>
      <c r="AN316" s="665"/>
      <c r="AO316" s="666"/>
      <c r="AP316" s="664"/>
      <c r="AQ316" s="665"/>
      <c r="AR316" s="665"/>
      <c r="AS316" s="666"/>
    </row>
    <row r="317" spans="1:45" s="208" customFormat="1" x14ac:dyDescent="0.25">
      <c r="B317" s="332" t="s">
        <v>171</v>
      </c>
      <c r="C317" s="336"/>
      <c r="D317" s="336"/>
      <c r="E317" s="336"/>
      <c r="F317" s="269">
        <f>SUM(F314:F316)</f>
        <v>68271.132470429206</v>
      </c>
      <c r="G317" s="256">
        <f t="shared" ref="G317:Q317" si="582">SUM(G314:G316)</f>
        <v>71262.546529570784</v>
      </c>
      <c r="H317" s="256">
        <f t="shared" si="582"/>
        <v>75011.824500000002</v>
      </c>
      <c r="I317" s="256">
        <f t="shared" si="582"/>
        <v>78984.239391227879</v>
      </c>
      <c r="J317" s="269">
        <f t="shared" si="582"/>
        <v>69024.463999999993</v>
      </c>
      <c r="K317" s="256">
        <f t="shared" si="582"/>
        <v>77601.544999999984</v>
      </c>
      <c r="L317" s="256">
        <f t="shared" si="582"/>
        <v>79170.914000000004</v>
      </c>
      <c r="M317" s="256">
        <f t="shared" si="582"/>
        <v>84938.975000000006</v>
      </c>
      <c r="N317" s="269">
        <f t="shared" si="582"/>
        <v>70302.258000000002</v>
      </c>
      <c r="O317" s="256">
        <f t="shared" si="582"/>
        <v>89940.543000000005</v>
      </c>
      <c r="P317" s="256">
        <f t="shared" si="582"/>
        <v>82252.135999999999</v>
      </c>
      <c r="Q317" s="256">
        <f t="shared" si="582"/>
        <v>79558.5</v>
      </c>
      <c r="R317" s="269">
        <f t="shared" ref="R317:S317" si="583">SUM(R314:R316)</f>
        <v>65035.5</v>
      </c>
      <c r="S317" s="256">
        <f t="shared" si="583"/>
        <v>35401.300000000003</v>
      </c>
      <c r="T317" s="256">
        <f t="shared" ref="T317:U317" si="584">SUM(T314:T316)</f>
        <v>64691.923999999999</v>
      </c>
      <c r="U317" s="256">
        <f t="shared" si="584"/>
        <v>74169</v>
      </c>
      <c r="V317" s="269">
        <f t="shared" ref="V317:W317" si="585">SUM(V314:V316)</f>
        <v>64396</v>
      </c>
      <c r="W317" s="256">
        <f t="shared" si="585"/>
        <v>73493.5</v>
      </c>
      <c r="X317" s="256">
        <f t="shared" ref="X317:AA317" si="586">SUM(X314:X316)</f>
        <v>73816.899999999994</v>
      </c>
      <c r="Y317" s="479">
        <f t="shared" si="586"/>
        <v>63410.95</v>
      </c>
      <c r="Z317" s="269">
        <f t="shared" si="586"/>
        <v>59669</v>
      </c>
      <c r="AA317" s="256">
        <f t="shared" si="586"/>
        <v>62825.087</v>
      </c>
      <c r="AB317" s="256">
        <f t="shared" ref="AB317:AE317" si="587">SUM(AB314:AB316)</f>
        <v>58208.700000000004</v>
      </c>
      <c r="AC317" s="479">
        <f t="shared" si="587"/>
        <v>63295</v>
      </c>
      <c r="AD317" s="269">
        <f t="shared" si="587"/>
        <v>49872</v>
      </c>
      <c r="AE317" s="256">
        <f t="shared" si="587"/>
        <v>50976</v>
      </c>
      <c r="AF317" s="256">
        <f t="shared" ref="AF317:AI317" si="588">SUM(AF314:AF316)</f>
        <v>57712</v>
      </c>
      <c r="AG317" s="479">
        <f t="shared" si="588"/>
        <v>66818</v>
      </c>
      <c r="AH317" s="269">
        <f t="shared" si="588"/>
        <v>74530</v>
      </c>
      <c r="AI317" s="256">
        <f t="shared" si="588"/>
        <v>90484</v>
      </c>
      <c r="AJ317" s="256">
        <f t="shared" ref="AJ317:AK317" si="589">SUM(AJ314:AJ316)</f>
        <v>93474</v>
      </c>
      <c r="AK317" s="479">
        <f t="shared" si="589"/>
        <v>81958</v>
      </c>
      <c r="AL317" s="670"/>
      <c r="AM317" s="671"/>
      <c r="AN317" s="671"/>
      <c r="AO317" s="672"/>
      <c r="AP317" s="670"/>
      <c r="AQ317" s="671"/>
      <c r="AR317" s="671"/>
      <c r="AS317" s="672"/>
    </row>
    <row r="318" spans="1:45" s="208" customFormat="1" x14ac:dyDescent="0.25">
      <c r="F318" s="225"/>
      <c r="J318" s="225"/>
      <c r="N318" s="225"/>
      <c r="R318" s="262"/>
      <c r="S318" s="249"/>
      <c r="T318" s="249"/>
      <c r="U318" s="249"/>
      <c r="V318" s="262"/>
      <c r="W318" s="249"/>
      <c r="X318" s="249"/>
      <c r="Y318" s="291"/>
      <c r="Z318" s="262"/>
      <c r="AA318" s="249"/>
      <c r="AB318" s="249"/>
      <c r="AC318" s="291"/>
      <c r="AD318" s="262"/>
      <c r="AE318" s="249"/>
      <c r="AF318" s="249"/>
      <c r="AG318" s="291"/>
      <c r="AH318" s="262"/>
      <c r="AI318" s="249"/>
      <c r="AJ318" s="249"/>
      <c r="AK318" s="291"/>
      <c r="AL318" s="262"/>
      <c r="AM318" s="249"/>
      <c r="AN318" s="249"/>
      <c r="AO318" s="291"/>
      <c r="AP318" s="262"/>
      <c r="AQ318" s="249"/>
      <c r="AR318" s="249"/>
      <c r="AS318" s="291"/>
    </row>
    <row r="319" spans="1:45" s="208" customFormat="1" x14ac:dyDescent="0.25">
      <c r="B319" s="330" t="s">
        <v>152</v>
      </c>
      <c r="C319" s="333"/>
      <c r="D319" s="333"/>
      <c r="E319" s="257"/>
      <c r="F319" s="334"/>
      <c r="G319" s="257"/>
      <c r="H319" s="257"/>
      <c r="I319" s="257"/>
      <c r="J319" s="270"/>
      <c r="K319" s="257"/>
      <c r="L319" s="257"/>
      <c r="M319" s="257"/>
      <c r="N319" s="270"/>
      <c r="O319" s="257"/>
      <c r="P319" s="257"/>
      <c r="Q319" s="257"/>
      <c r="R319" s="270"/>
      <c r="S319" s="257"/>
      <c r="T319" s="257"/>
      <c r="U319" s="257"/>
      <c r="V319" s="270"/>
      <c r="W319" s="257"/>
      <c r="X319" s="257"/>
      <c r="Y319" s="477"/>
      <c r="Z319" s="270"/>
      <c r="AA319" s="257"/>
      <c r="AB319" s="257"/>
      <c r="AC319" s="477"/>
      <c r="AD319" s="270"/>
      <c r="AE319" s="257"/>
      <c r="AF319" s="257"/>
      <c r="AG319" s="477"/>
      <c r="AH319" s="270"/>
      <c r="AI319" s="257"/>
      <c r="AJ319" s="257"/>
      <c r="AK319" s="477"/>
      <c r="AL319" s="270"/>
      <c r="AM319" s="257"/>
      <c r="AN319" s="257"/>
      <c r="AO319" s="477"/>
      <c r="AP319" s="270"/>
      <c r="AQ319" s="257"/>
      <c r="AR319" s="257"/>
      <c r="AS319" s="477"/>
    </row>
    <row r="320" spans="1:45" s="208" customFormat="1" x14ac:dyDescent="0.25">
      <c r="B320" s="227" t="s">
        <v>145</v>
      </c>
      <c r="F320" s="226">
        <f>29830.4813005665/2</f>
        <v>14915.240650283249</v>
      </c>
      <c r="G320" s="253">
        <f>30778.1182459889/2</f>
        <v>15389.059122994449</v>
      </c>
      <c r="H320" s="253">
        <f>32159.8547608448/2</f>
        <v>16079.927380422399</v>
      </c>
      <c r="I320" s="253">
        <f>30816.8041785563/2</f>
        <v>15408.40208927815</v>
      </c>
      <c r="J320" s="226">
        <f>30104.516772471/2</f>
        <v>15052.2583862355</v>
      </c>
      <c r="K320" s="253">
        <f>31950.2526825546/2</f>
        <v>15975.126341277301</v>
      </c>
      <c r="L320" s="253">
        <f>30391.5032691748/2</f>
        <v>15195.751634587399</v>
      </c>
      <c r="M320" s="253">
        <f>31281.1740116614/2</f>
        <v>15640.587005830699</v>
      </c>
      <c r="N320" s="226">
        <f>29155.9023916512/2</f>
        <v>14577.951195825601</v>
      </c>
      <c r="O320" s="253">
        <f>31281.4586012422/2</f>
        <v>15640.7293006211</v>
      </c>
      <c r="P320" s="253">
        <f>25356.281/2</f>
        <v>12678.1405</v>
      </c>
      <c r="Q320" s="253">
        <v>15550.5</v>
      </c>
      <c r="R320" s="226">
        <v>14356.5</v>
      </c>
      <c r="S320" s="253">
        <v>15730</v>
      </c>
      <c r="T320" s="253">
        <f>31417.2404445874/2</f>
        <v>15708.620222293701</v>
      </c>
      <c r="U320" s="253">
        <v>15409</v>
      </c>
      <c r="V320" s="226">
        <v>14890</v>
      </c>
      <c r="W320" s="253">
        <v>15393</v>
      </c>
      <c r="X320" s="253">
        <v>14381.75</v>
      </c>
      <c r="Y320" s="352">
        <v>14945.5</v>
      </c>
      <c r="Z320" s="226">
        <v>14011.5</v>
      </c>
      <c r="AA320" s="253">
        <v>14804.580663585142</v>
      </c>
      <c r="AB320" s="253">
        <v>14248.8</v>
      </c>
      <c r="AC320" s="352">
        <v>14636</v>
      </c>
      <c r="AD320" s="226">
        <v>13213</v>
      </c>
      <c r="AE320" s="253">
        <v>15438</v>
      </c>
      <c r="AF320" s="253">
        <v>14484</v>
      </c>
      <c r="AG320" s="352">
        <v>14962</v>
      </c>
      <c r="AH320" s="226">
        <v>15039</v>
      </c>
      <c r="AI320" s="253">
        <v>15934</v>
      </c>
      <c r="AJ320" s="253">
        <v>15703</v>
      </c>
      <c r="AK320" s="352">
        <v>14789</v>
      </c>
      <c r="AL320" s="226">
        <v>14195</v>
      </c>
      <c r="AM320" s="253">
        <v>15481</v>
      </c>
      <c r="AN320" s="253">
        <v>14916</v>
      </c>
      <c r="AO320" s="352">
        <v>14152</v>
      </c>
      <c r="AP320" s="226">
        <v>13475</v>
      </c>
      <c r="AQ320" s="253">
        <v>13578</v>
      </c>
      <c r="AR320" s="253"/>
      <c r="AS320" s="352"/>
    </row>
    <row r="321" spans="2:45" s="208" customFormat="1" x14ac:dyDescent="0.25">
      <c r="B321" s="227" t="s">
        <v>146</v>
      </c>
      <c r="F321" s="226">
        <f>24017.676451315/2</f>
        <v>12008.838225657501</v>
      </c>
      <c r="G321" s="253">
        <f>24322.7741890166/2</f>
        <v>12161.3870945083</v>
      </c>
      <c r="H321" s="253">
        <f>25425.5431059349/2</f>
        <v>12712.77155296745</v>
      </c>
      <c r="I321" s="253">
        <f>24245.7776632107/2</f>
        <v>12122.888831605351</v>
      </c>
      <c r="J321" s="226">
        <f>23733.3248530603/2</f>
        <v>11866.662426530151</v>
      </c>
      <c r="K321" s="253">
        <f>25315.5562597025/2</f>
        <v>12657.778129851249</v>
      </c>
      <c r="L321" s="253">
        <f>24322.9239130359/2</f>
        <v>12161.461956517949</v>
      </c>
      <c r="M321" s="253">
        <f>24686.8571347941/2</f>
        <v>12343.42856739705</v>
      </c>
      <c r="N321" s="226">
        <f>22959.4363394994/2</f>
        <v>11479.7181697497</v>
      </c>
      <c r="O321" s="253">
        <f>24766.5387121922/2</f>
        <v>12383.2693560961</v>
      </c>
      <c r="P321" s="253">
        <f>20076.734/2</f>
        <v>10038.367</v>
      </c>
      <c r="Q321" s="253">
        <v>12182.5</v>
      </c>
      <c r="R321" s="226">
        <v>11269.5</v>
      </c>
      <c r="S321" s="253">
        <v>12354</v>
      </c>
      <c r="T321" s="253">
        <f>24653.904307762/2</f>
        <v>12326.952153881</v>
      </c>
      <c r="U321" s="253">
        <v>12052</v>
      </c>
      <c r="V321" s="226">
        <v>11688</v>
      </c>
      <c r="W321" s="253">
        <v>12047</v>
      </c>
      <c r="X321" s="253">
        <v>11252.65</v>
      </c>
      <c r="Y321" s="352">
        <v>11562</v>
      </c>
      <c r="Z321" s="226">
        <v>10960</v>
      </c>
      <c r="AA321" s="253">
        <v>11498.22195916889</v>
      </c>
      <c r="AB321" s="253">
        <v>11120.4</v>
      </c>
      <c r="AC321" s="352">
        <v>11393</v>
      </c>
      <c r="AD321" s="226">
        <v>10264</v>
      </c>
      <c r="AE321" s="253">
        <v>12065</v>
      </c>
      <c r="AF321" s="253">
        <v>11298</v>
      </c>
      <c r="AG321" s="352">
        <v>11638</v>
      </c>
      <c r="AH321" s="226">
        <v>11648</v>
      </c>
      <c r="AI321" s="253">
        <v>12309</v>
      </c>
      <c r="AJ321" s="253">
        <v>12262</v>
      </c>
      <c r="AK321" s="352">
        <v>11513</v>
      </c>
      <c r="AL321" s="226">
        <v>10937</v>
      </c>
      <c r="AM321" s="253">
        <v>11898</v>
      </c>
      <c r="AN321" s="253">
        <v>11516</v>
      </c>
      <c r="AO321" s="352">
        <v>11056</v>
      </c>
      <c r="AP321" s="226">
        <v>10925</v>
      </c>
      <c r="AQ321" s="253">
        <v>10729</v>
      </c>
      <c r="AR321" s="253"/>
      <c r="AS321" s="352"/>
    </row>
    <row r="322" spans="2:45" s="208" customFormat="1" x14ac:dyDescent="0.25">
      <c r="B322" s="227" t="s">
        <v>147</v>
      </c>
      <c r="F322" s="226">
        <f>2534.89475071998/2</f>
        <v>1267.44737535999</v>
      </c>
      <c r="G322" s="253">
        <f>2741.73934448408/2</f>
        <v>1370.86967224204</v>
      </c>
      <c r="H322" s="253">
        <f>2852.476196541/2</f>
        <v>1426.2380982704999</v>
      </c>
      <c r="I322" s="253">
        <f>2653.40390388991/2</f>
        <v>1326.701951944955</v>
      </c>
      <c r="J322" s="226">
        <f>2521.79287013486/2</f>
        <v>1260.89643506743</v>
      </c>
      <c r="K322" s="253">
        <f>2770.11249947227/2</f>
        <v>1385.056249736135</v>
      </c>
      <c r="L322" s="253">
        <f>2651.5238545975/2</f>
        <v>1325.7619272987499</v>
      </c>
      <c r="M322" s="253">
        <f>2706.69289176452/2</f>
        <v>1353.34644588226</v>
      </c>
      <c r="N322" s="226">
        <f>2491.53926101254/2</f>
        <v>1245.76963050627</v>
      </c>
      <c r="O322" s="253">
        <f>2638.51536180253/2</f>
        <v>1319.2576809012651</v>
      </c>
      <c r="P322" s="253">
        <f>2166.012/2</f>
        <v>1083.0060000000001</v>
      </c>
      <c r="Q322" s="253">
        <v>1288.5</v>
      </c>
      <c r="R322" s="226">
        <v>1203</v>
      </c>
      <c r="S322" s="253">
        <v>1335.5</v>
      </c>
      <c r="T322" s="253">
        <f>2681.72082883783/2</f>
        <v>1340.8604144189151</v>
      </c>
      <c r="U322" s="253">
        <v>1274</v>
      </c>
      <c r="V322" s="226">
        <v>1229.5</v>
      </c>
      <c r="W322" s="253">
        <v>1245</v>
      </c>
      <c r="X322" s="253">
        <v>1179.5</v>
      </c>
      <c r="Y322" s="352">
        <v>1231</v>
      </c>
      <c r="Z322" s="226">
        <v>1143</v>
      </c>
      <c r="AA322" s="253">
        <v>1209.9477471697617</v>
      </c>
      <c r="AB322" s="253">
        <v>1188.3606017493175</v>
      </c>
      <c r="AC322" s="352">
        <v>1186</v>
      </c>
      <c r="AD322" s="226">
        <v>1105</v>
      </c>
      <c r="AE322" s="253">
        <v>1286</v>
      </c>
      <c r="AF322" s="253">
        <v>1288</v>
      </c>
      <c r="AG322" s="352">
        <v>1259</v>
      </c>
      <c r="AH322" s="226">
        <v>1241</v>
      </c>
      <c r="AI322" s="253">
        <v>1315</v>
      </c>
      <c r="AJ322" s="253">
        <v>1305</v>
      </c>
      <c r="AK322" s="352">
        <v>1237</v>
      </c>
      <c r="AL322" s="226">
        <v>1175</v>
      </c>
      <c r="AM322" s="253">
        <v>1286</v>
      </c>
      <c r="AN322" s="253">
        <v>1220</v>
      </c>
      <c r="AO322" s="352">
        <v>1156</v>
      </c>
      <c r="AP322" s="226">
        <v>1221</v>
      </c>
      <c r="AQ322" s="253">
        <v>1190</v>
      </c>
      <c r="AR322" s="253"/>
      <c r="AS322" s="352"/>
    </row>
    <row r="323" spans="2:45" s="208" customFormat="1" x14ac:dyDescent="0.25">
      <c r="B323" s="227" t="s">
        <v>148</v>
      </c>
      <c r="F323" s="226">
        <f>3565.66671329708/2</f>
        <v>1782.8333566485401</v>
      </c>
      <c r="G323" s="255">
        <f>3965.61577217809/2</f>
        <v>1982.807886089045</v>
      </c>
      <c r="H323" s="255">
        <f>4231.27643671528/2</f>
        <v>2115.6382183576402</v>
      </c>
      <c r="I323" s="255">
        <f>4162.91348601202/2</f>
        <v>2081.4567430060101</v>
      </c>
      <c r="J323" s="268">
        <f>3897.54852644771/2</f>
        <v>1948.7742632238551</v>
      </c>
      <c r="K323" s="255">
        <f>4246.17566024686/2</f>
        <v>2123.0878301234302</v>
      </c>
      <c r="L323" s="255">
        <f>4344.50117901378/2</f>
        <v>2172.2505895068898</v>
      </c>
      <c r="M323" s="255">
        <f>4226.18568192407/2</f>
        <v>2113.0928409620351</v>
      </c>
      <c r="N323" s="268">
        <f>3981.10671103716/2</f>
        <v>1990.55335551858</v>
      </c>
      <c r="O323" s="255">
        <f>4386.53131750311/2</f>
        <v>2193.2656587515548</v>
      </c>
      <c r="P323" s="255">
        <f>3597.005/2</f>
        <v>1798.5025000000001</v>
      </c>
      <c r="Q323" s="255">
        <v>2102</v>
      </c>
      <c r="R323" s="268">
        <v>1948</v>
      </c>
      <c r="S323" s="255">
        <v>2156</v>
      </c>
      <c r="T323" s="255">
        <f>4390.47285832145/2</f>
        <v>2195.236429160725</v>
      </c>
      <c r="U323" s="255">
        <v>2110</v>
      </c>
      <c r="V323" s="268">
        <v>2070.5</v>
      </c>
      <c r="W323" s="255">
        <v>2151</v>
      </c>
      <c r="X323" s="255">
        <v>1956.5</v>
      </c>
      <c r="Y323" s="478">
        <v>2028.45</v>
      </c>
      <c r="Z323" s="268">
        <v>1928.5</v>
      </c>
      <c r="AA323" s="255">
        <v>1998.034149107857</v>
      </c>
      <c r="AB323" s="255">
        <v>2112.5</v>
      </c>
      <c r="AC323" s="478">
        <v>2095</v>
      </c>
      <c r="AD323" s="268">
        <v>1814</v>
      </c>
      <c r="AE323" s="255">
        <v>2157</v>
      </c>
      <c r="AF323" s="255">
        <v>1990</v>
      </c>
      <c r="AG323" s="478">
        <v>2047</v>
      </c>
      <c r="AH323" s="268">
        <v>2054</v>
      </c>
      <c r="AI323" s="255">
        <v>2128</v>
      </c>
      <c r="AJ323" s="255">
        <v>2138</v>
      </c>
      <c r="AK323" s="478">
        <v>2024</v>
      </c>
      <c r="AL323" s="268">
        <v>1951</v>
      </c>
      <c r="AM323" s="255">
        <v>2131</v>
      </c>
      <c r="AN323" s="255">
        <v>1994</v>
      </c>
      <c r="AO323" s="478">
        <v>1955</v>
      </c>
      <c r="AP323" s="268">
        <v>1984</v>
      </c>
      <c r="AQ323" s="255">
        <v>1900</v>
      </c>
      <c r="AR323" s="255"/>
      <c r="AS323" s="478"/>
    </row>
    <row r="324" spans="2:45" s="208" customFormat="1" x14ac:dyDescent="0.25">
      <c r="B324" s="331" t="s">
        <v>170</v>
      </c>
      <c r="C324" s="333"/>
      <c r="D324" s="333"/>
      <c r="E324" s="333"/>
      <c r="F324" s="267">
        <f t="shared" ref="F324:Q324" si="590">SUM(F320:F323)</f>
        <v>29974.359607949282</v>
      </c>
      <c r="G324" s="254">
        <f t="shared" si="590"/>
        <v>30904.123775833836</v>
      </c>
      <c r="H324" s="254">
        <f t="shared" si="590"/>
        <v>32334.575250017988</v>
      </c>
      <c r="I324" s="254">
        <f t="shared" si="590"/>
        <v>30939.449615834466</v>
      </c>
      <c r="J324" s="267">
        <f t="shared" si="590"/>
        <v>30128.591511056937</v>
      </c>
      <c r="K324" s="254">
        <f t="shared" si="590"/>
        <v>32141.048550988115</v>
      </c>
      <c r="L324" s="254">
        <f t="shared" si="590"/>
        <v>30855.226107910989</v>
      </c>
      <c r="M324" s="254">
        <f t="shared" si="590"/>
        <v>31450.454860072045</v>
      </c>
      <c r="N324" s="267">
        <f t="shared" si="590"/>
        <v>29293.992351600151</v>
      </c>
      <c r="O324" s="254">
        <f t="shared" si="590"/>
        <v>31536.521996370022</v>
      </c>
      <c r="P324" s="254">
        <f t="shared" si="590"/>
        <v>25598.016</v>
      </c>
      <c r="Q324" s="254">
        <f t="shared" si="590"/>
        <v>31123.5</v>
      </c>
      <c r="R324" s="267">
        <f t="shared" ref="R324:S324" si="591">SUM(R320:R323)</f>
        <v>28777</v>
      </c>
      <c r="S324" s="254">
        <f t="shared" si="591"/>
        <v>31575.5</v>
      </c>
      <c r="T324" s="254">
        <f t="shared" ref="T324:U324" si="592">SUM(T320:T323)</f>
        <v>31571.669219754342</v>
      </c>
      <c r="U324" s="254">
        <f t="shared" si="592"/>
        <v>30845</v>
      </c>
      <c r="V324" s="267">
        <f t="shared" ref="V324:W324" si="593">SUM(V320:V323)</f>
        <v>29878</v>
      </c>
      <c r="W324" s="254">
        <f t="shared" si="593"/>
        <v>30836</v>
      </c>
      <c r="X324" s="254">
        <f t="shared" ref="X324:AA324" si="594">SUM(X320:X323)</f>
        <v>28770.400000000001</v>
      </c>
      <c r="Y324" s="382">
        <f t="shared" si="594"/>
        <v>29766.95</v>
      </c>
      <c r="Z324" s="267">
        <f t="shared" si="594"/>
        <v>28043</v>
      </c>
      <c r="AA324" s="254">
        <f t="shared" si="594"/>
        <v>29510.784519031651</v>
      </c>
      <c r="AB324" s="254">
        <f t="shared" ref="AB324:AE324" si="595">SUM(AB320:AB323)</f>
        <v>28670.060601749316</v>
      </c>
      <c r="AC324" s="382">
        <f t="shared" si="595"/>
        <v>29310</v>
      </c>
      <c r="AD324" s="267">
        <f t="shared" si="595"/>
        <v>26396</v>
      </c>
      <c r="AE324" s="254">
        <f t="shared" si="595"/>
        <v>30946</v>
      </c>
      <c r="AF324" s="254">
        <f t="shared" ref="AF324:AI324" si="596">SUM(AF320:AF323)</f>
        <v>29060</v>
      </c>
      <c r="AG324" s="382">
        <f t="shared" si="596"/>
        <v>29906</v>
      </c>
      <c r="AH324" s="267">
        <f t="shared" si="596"/>
        <v>29982</v>
      </c>
      <c r="AI324" s="254">
        <f t="shared" si="596"/>
        <v>31686</v>
      </c>
      <c r="AJ324" s="254">
        <f t="shared" ref="AJ324:AO324" si="597">SUM(AJ320:AJ323)</f>
        <v>31408</v>
      </c>
      <c r="AK324" s="382">
        <f t="shared" si="597"/>
        <v>29563</v>
      </c>
      <c r="AL324" s="267">
        <f t="shared" si="597"/>
        <v>28258</v>
      </c>
      <c r="AM324" s="254">
        <f t="shared" si="597"/>
        <v>30796</v>
      </c>
      <c r="AN324" s="254">
        <f t="shared" si="597"/>
        <v>29646</v>
      </c>
      <c r="AO324" s="382">
        <f t="shared" si="597"/>
        <v>28319</v>
      </c>
      <c r="AP324" s="267">
        <f t="shared" ref="AP324:AS324" si="598">SUM(AP320:AP323)</f>
        <v>27605</v>
      </c>
      <c r="AQ324" s="254">
        <f t="shared" si="598"/>
        <v>27397</v>
      </c>
      <c r="AR324" s="254">
        <f t="shared" si="598"/>
        <v>0</v>
      </c>
      <c r="AS324" s="382">
        <f t="shared" si="598"/>
        <v>0</v>
      </c>
    </row>
    <row r="325" spans="2:45" s="208" customFormat="1" x14ac:dyDescent="0.25">
      <c r="B325" s="227" t="s">
        <v>150</v>
      </c>
      <c r="F325" s="226">
        <f>2459.61487295623/2</f>
        <v>1229.8074364781151</v>
      </c>
      <c r="G325" s="253">
        <f>2335.32398943516/2</f>
        <v>1167.66199471758</v>
      </c>
      <c r="H325" s="253">
        <f>2419.18695739512/2</f>
        <v>1209.5934786975599</v>
      </c>
      <c r="I325" s="253">
        <f>2301.49189193367/2</f>
        <v>1150.7459459668351</v>
      </c>
      <c r="J325" s="226">
        <f>2278.32996632498/2</f>
        <v>1139.16498316249</v>
      </c>
      <c r="K325" s="253">
        <f>2380.31784855546/2</f>
        <v>1190.15892427773</v>
      </c>
      <c r="L325" s="253">
        <f>2352.74331525762/2</f>
        <v>1176.37165762881</v>
      </c>
      <c r="M325" s="253">
        <f>2389.26263885905/2</f>
        <v>1194.6313194295251</v>
      </c>
      <c r="N325" s="226">
        <f>2250.57855619157/2</f>
        <v>1125.289278095785</v>
      </c>
      <c r="O325" s="253">
        <f>2516.20127939825/2</f>
        <v>1258.1006396991249</v>
      </c>
      <c r="P325" s="253">
        <f>1976.59/2</f>
        <v>988.29499999999996</v>
      </c>
      <c r="Q325" s="253">
        <v>1202</v>
      </c>
      <c r="R325" s="226">
        <v>1106.5</v>
      </c>
      <c r="S325" s="253">
        <v>1221.5</v>
      </c>
      <c r="T325" s="253">
        <f>2495.35968026982/2</f>
        <v>1247.6798401349099</v>
      </c>
      <c r="U325" s="253">
        <v>1248</v>
      </c>
      <c r="V325" s="226">
        <v>1172.5</v>
      </c>
      <c r="W325" s="253">
        <v>1231.5</v>
      </c>
      <c r="X325" s="253">
        <v>1170.75</v>
      </c>
      <c r="Y325" s="352">
        <v>1208</v>
      </c>
      <c r="Z325" s="226">
        <v>1116</v>
      </c>
      <c r="AA325" s="253">
        <v>1209.2653249370755</v>
      </c>
      <c r="AB325" s="253">
        <v>1186.5</v>
      </c>
      <c r="AC325" s="352">
        <v>1203</v>
      </c>
      <c r="AD325" s="226">
        <v>1118</v>
      </c>
      <c r="AE325" s="253">
        <v>1279</v>
      </c>
      <c r="AF325" s="253">
        <v>1198</v>
      </c>
      <c r="AG325" s="352">
        <v>1231</v>
      </c>
      <c r="AH325" s="226">
        <v>1135</v>
      </c>
      <c r="AI325" s="253">
        <v>1200</v>
      </c>
      <c r="AJ325" s="253">
        <v>1193</v>
      </c>
      <c r="AK325" s="352">
        <v>1157</v>
      </c>
      <c r="AL325" s="226">
        <v>1085</v>
      </c>
      <c r="AM325" s="253">
        <v>1229</v>
      </c>
      <c r="AN325" s="253">
        <v>1133</v>
      </c>
      <c r="AO325" s="352">
        <v>1092</v>
      </c>
      <c r="AP325" s="226">
        <v>1101</v>
      </c>
      <c r="AQ325" s="253">
        <v>1141</v>
      </c>
      <c r="AR325" s="253"/>
      <c r="AS325" s="352"/>
    </row>
    <row r="326" spans="2:45" s="208" customFormat="1" x14ac:dyDescent="0.25">
      <c r="B326" s="227" t="s">
        <v>151</v>
      </c>
      <c r="F326" s="226">
        <f>1414.88896249126/2</f>
        <v>707.44448124562996</v>
      </c>
      <c r="G326" s="255">
        <f>1150.02688511697/2</f>
        <v>575.01344255848505</v>
      </c>
      <c r="H326" s="255">
        <f>1231.81572286763/2</f>
        <v>615.90786143381501</v>
      </c>
      <c r="I326" s="255">
        <f>1154.09433559525/2</f>
        <v>577.04716779762498</v>
      </c>
      <c r="J326" s="268">
        <f>1133.49802391979/2</f>
        <v>566.74901195989503</v>
      </c>
      <c r="K326" s="255">
        <f>1181.1063059817/2</f>
        <v>590.55315299084998</v>
      </c>
      <c r="L326" s="255">
        <f>1186.8879440979/2</f>
        <v>593.44397204894995</v>
      </c>
      <c r="M326" s="255">
        <f>1227.74437015792/2</f>
        <v>613.87218507896</v>
      </c>
      <c r="N326" s="268">
        <f>1148.77429437438/2</f>
        <v>574.38714718718995</v>
      </c>
      <c r="O326" s="255">
        <f>1245.36434504302/2</f>
        <v>622.68217252150998</v>
      </c>
      <c r="P326" s="255">
        <f>999.103/2</f>
        <v>499.55149999999998</v>
      </c>
      <c r="Q326" s="255">
        <v>612</v>
      </c>
      <c r="R326" s="268">
        <v>570</v>
      </c>
      <c r="S326" s="255">
        <v>630.5</v>
      </c>
      <c r="T326" s="255">
        <f>1285.11688223423/2</f>
        <v>642.55844111711497</v>
      </c>
      <c r="U326" s="255">
        <v>642</v>
      </c>
      <c r="V326" s="268">
        <v>607</v>
      </c>
      <c r="W326" s="255">
        <v>635.5</v>
      </c>
      <c r="X326" s="255">
        <v>600.75</v>
      </c>
      <c r="Y326" s="478">
        <v>625</v>
      </c>
      <c r="Z326" s="268">
        <v>570</v>
      </c>
      <c r="AA326" s="255">
        <v>621.27025581335124</v>
      </c>
      <c r="AB326" s="255">
        <v>612.4</v>
      </c>
      <c r="AC326" s="478">
        <v>619</v>
      </c>
      <c r="AD326" s="268">
        <v>570</v>
      </c>
      <c r="AE326" s="255">
        <v>648</v>
      </c>
      <c r="AF326" s="255">
        <v>565</v>
      </c>
      <c r="AG326" s="478">
        <v>582</v>
      </c>
      <c r="AH326" s="268">
        <v>577</v>
      </c>
      <c r="AI326" s="255">
        <v>589</v>
      </c>
      <c r="AJ326" s="255">
        <v>589</v>
      </c>
      <c r="AK326" s="478">
        <v>527</v>
      </c>
      <c r="AL326" s="268">
        <v>556</v>
      </c>
      <c r="AM326" s="255">
        <v>608</v>
      </c>
      <c r="AN326" s="255">
        <v>549</v>
      </c>
      <c r="AO326" s="478">
        <v>542</v>
      </c>
      <c r="AP326" s="268">
        <v>496</v>
      </c>
      <c r="AQ326" s="255">
        <v>514</v>
      </c>
      <c r="AR326" s="255"/>
      <c r="AS326" s="478"/>
    </row>
    <row r="327" spans="2:45" s="208" customFormat="1" x14ac:dyDescent="0.25">
      <c r="B327" s="332" t="s">
        <v>171</v>
      </c>
      <c r="C327" s="336"/>
      <c r="D327" s="336"/>
      <c r="E327" s="336"/>
      <c r="F327" s="269">
        <f t="shared" ref="F327:Q327" si="599">SUM(F324:F326)</f>
        <v>31911.61152567303</v>
      </c>
      <c r="G327" s="256">
        <f t="shared" si="599"/>
        <v>32646.799213109898</v>
      </c>
      <c r="H327" s="256">
        <f t="shared" si="599"/>
        <v>34160.076590149365</v>
      </c>
      <c r="I327" s="256">
        <f t="shared" si="599"/>
        <v>32667.242729598926</v>
      </c>
      <c r="J327" s="269">
        <f t="shared" si="599"/>
        <v>31834.505506179321</v>
      </c>
      <c r="K327" s="256">
        <f t="shared" si="599"/>
        <v>33921.760628256692</v>
      </c>
      <c r="L327" s="256">
        <f t="shared" si="599"/>
        <v>32625.041737588748</v>
      </c>
      <c r="M327" s="256">
        <f t="shared" si="599"/>
        <v>33258.958364580532</v>
      </c>
      <c r="N327" s="269">
        <f t="shared" si="599"/>
        <v>30993.668776883125</v>
      </c>
      <c r="O327" s="256">
        <f t="shared" si="599"/>
        <v>33417.304808590656</v>
      </c>
      <c r="P327" s="256">
        <f t="shared" si="599"/>
        <v>27085.862499999999</v>
      </c>
      <c r="Q327" s="256">
        <f t="shared" si="599"/>
        <v>32937.5</v>
      </c>
      <c r="R327" s="269">
        <f t="shared" ref="R327:S327" si="600">SUM(R324:R326)</f>
        <v>30453.5</v>
      </c>
      <c r="S327" s="256">
        <f t="shared" si="600"/>
        <v>33427.5</v>
      </c>
      <c r="T327" s="256">
        <f t="shared" ref="T327:U327" si="601">SUM(T324:T326)</f>
        <v>33461.907501006368</v>
      </c>
      <c r="U327" s="256">
        <f t="shared" si="601"/>
        <v>32735</v>
      </c>
      <c r="V327" s="269">
        <f t="shared" ref="V327:W327" si="602">SUM(V324:V326)</f>
        <v>31657.5</v>
      </c>
      <c r="W327" s="256">
        <f t="shared" si="602"/>
        <v>32703</v>
      </c>
      <c r="X327" s="256">
        <f t="shared" ref="X327:AA327" si="603">SUM(X324:X326)</f>
        <v>30541.9</v>
      </c>
      <c r="Y327" s="479">
        <f t="shared" si="603"/>
        <v>31599.95</v>
      </c>
      <c r="Z327" s="269">
        <f t="shared" si="603"/>
        <v>29729</v>
      </c>
      <c r="AA327" s="256">
        <f t="shared" si="603"/>
        <v>31341.320099782075</v>
      </c>
      <c r="AB327" s="256">
        <f t="shared" ref="AB327:AE327" si="604">SUM(AB324:AB326)</f>
        <v>30468.960601749317</v>
      </c>
      <c r="AC327" s="479">
        <f t="shared" si="604"/>
        <v>31132</v>
      </c>
      <c r="AD327" s="269">
        <f t="shared" si="604"/>
        <v>28084</v>
      </c>
      <c r="AE327" s="256">
        <f t="shared" si="604"/>
        <v>32873</v>
      </c>
      <c r="AF327" s="256">
        <f t="shared" ref="AF327:AI327" si="605">SUM(AF324:AF326)</f>
        <v>30823</v>
      </c>
      <c r="AG327" s="479">
        <f t="shared" si="605"/>
        <v>31719</v>
      </c>
      <c r="AH327" s="269">
        <f t="shared" si="605"/>
        <v>31694</v>
      </c>
      <c r="AI327" s="256">
        <f t="shared" si="605"/>
        <v>33475</v>
      </c>
      <c r="AJ327" s="256">
        <f t="shared" ref="AJ327:AO327" si="606">SUM(AJ324:AJ326)</f>
        <v>33190</v>
      </c>
      <c r="AK327" s="479">
        <f t="shared" si="606"/>
        <v>31247</v>
      </c>
      <c r="AL327" s="269">
        <f t="shared" si="606"/>
        <v>29899</v>
      </c>
      <c r="AM327" s="256">
        <f t="shared" si="606"/>
        <v>32633</v>
      </c>
      <c r="AN327" s="256">
        <f t="shared" si="606"/>
        <v>31328</v>
      </c>
      <c r="AO327" s="479">
        <f t="shared" si="606"/>
        <v>29953</v>
      </c>
      <c r="AP327" s="269">
        <f t="shared" ref="AP327:AS327" si="607">SUM(AP324:AP326)</f>
        <v>29202</v>
      </c>
      <c r="AQ327" s="256">
        <f t="shared" si="607"/>
        <v>29052</v>
      </c>
      <c r="AR327" s="256">
        <f t="shared" si="607"/>
        <v>0</v>
      </c>
      <c r="AS327" s="479">
        <f t="shared" si="607"/>
        <v>0</v>
      </c>
    </row>
    <row r="328" spans="2:45" s="208" customFormat="1" x14ac:dyDescent="0.25">
      <c r="F328" s="225"/>
      <c r="J328" s="225"/>
      <c r="N328" s="225"/>
      <c r="R328" s="262"/>
      <c r="S328" s="249"/>
      <c r="T328" s="249"/>
      <c r="U328" s="249"/>
      <c r="V328" s="262"/>
      <c r="W328" s="249"/>
      <c r="X328" s="249"/>
      <c r="Y328" s="291"/>
      <c r="Z328" s="262"/>
      <c r="AA328" s="249"/>
      <c r="AB328" s="249"/>
      <c r="AC328" s="291"/>
      <c r="AD328" s="262"/>
      <c r="AE328" s="249"/>
      <c r="AF328" s="249"/>
      <c r="AG328" s="291"/>
      <c r="AH328" s="262"/>
      <c r="AI328" s="249"/>
      <c r="AJ328" s="249"/>
      <c r="AK328" s="291"/>
      <c r="AL328" s="262"/>
      <c r="AM328" s="249"/>
      <c r="AN328" s="249"/>
      <c r="AO328" s="291"/>
      <c r="AP328" s="262"/>
      <c r="AQ328" s="249"/>
      <c r="AR328" s="249"/>
      <c r="AS328" s="291"/>
    </row>
    <row r="329" spans="2:45" s="208" customFormat="1" x14ac:dyDescent="0.25">
      <c r="B329" s="330" t="s">
        <v>103</v>
      </c>
      <c r="C329" s="333"/>
      <c r="D329" s="333"/>
      <c r="E329" s="257"/>
      <c r="F329" s="334"/>
      <c r="G329" s="257"/>
      <c r="H329" s="257"/>
      <c r="I329" s="257"/>
      <c r="J329" s="270"/>
      <c r="K329" s="257"/>
      <c r="L329" s="257"/>
      <c r="M329" s="257"/>
      <c r="N329" s="270"/>
      <c r="O329" s="257"/>
      <c r="P329" s="257"/>
      <c r="Q329" s="257"/>
      <c r="R329" s="270"/>
      <c r="S329" s="257"/>
      <c r="T329" s="257"/>
      <c r="U329" s="257"/>
      <c r="V329" s="270"/>
      <c r="W329" s="257"/>
      <c r="X329" s="257"/>
      <c r="Y329" s="477"/>
      <c r="Z329" s="270"/>
      <c r="AA329" s="257"/>
      <c r="AB329" s="257"/>
      <c r="AC329" s="477"/>
      <c r="AD329" s="270"/>
      <c r="AE329" s="257"/>
      <c r="AF329" s="257"/>
      <c r="AG329" s="477"/>
      <c r="AH329" s="270"/>
      <c r="AI329" s="257"/>
      <c r="AJ329" s="257"/>
      <c r="AK329" s="477"/>
      <c r="AL329" s="270"/>
      <c r="AM329" s="257"/>
      <c r="AN329" s="257"/>
      <c r="AO329" s="477"/>
      <c r="AP329" s="270"/>
      <c r="AQ329" s="257"/>
      <c r="AR329" s="257"/>
      <c r="AS329" s="477"/>
    </row>
    <row r="330" spans="2:45" s="208" customFormat="1" x14ac:dyDescent="0.25">
      <c r="B330" s="227" t="s">
        <v>145</v>
      </c>
      <c r="F330" s="226">
        <v>2511.2283172328143</v>
      </c>
      <c r="G330" s="253">
        <v>2708.6251085882418</v>
      </c>
      <c r="H330" s="253">
        <v>2923.2883378889101</v>
      </c>
      <c r="I330" s="253">
        <v>3256.2122362900354</v>
      </c>
      <c r="J330" s="226">
        <v>2113.7925300267984</v>
      </c>
      <c r="K330" s="253">
        <v>2315.70278088538</v>
      </c>
      <c r="L330" s="253">
        <v>2946.3788705929501</v>
      </c>
      <c r="M330" s="253">
        <v>3287.6988184948709</v>
      </c>
      <c r="N330" s="226">
        <v>2995.4</v>
      </c>
      <c r="O330" s="253">
        <v>4444.9239999999991</v>
      </c>
      <c r="P330" s="253">
        <v>2744.0949999999998</v>
      </c>
      <c r="Q330" s="253">
        <v>3055.3810000000012</v>
      </c>
      <c r="R330" s="226">
        <v>6053</v>
      </c>
      <c r="S330" s="253">
        <v>4419</v>
      </c>
      <c r="T330" s="253">
        <v>7473.9</v>
      </c>
      <c r="U330" s="253">
        <v>7841</v>
      </c>
      <c r="V330" s="226">
        <v>6980</v>
      </c>
      <c r="W330" s="253">
        <v>7144</v>
      </c>
      <c r="X330" s="253">
        <v>8915.4</v>
      </c>
      <c r="Y330" s="352">
        <v>10798</v>
      </c>
      <c r="Z330" s="226">
        <v>9623</v>
      </c>
      <c r="AA330" s="253">
        <v>6435.9131999999963</v>
      </c>
      <c r="AB330" s="253">
        <v>7908.4</v>
      </c>
      <c r="AC330" s="352">
        <v>7205</v>
      </c>
      <c r="AD330" s="226">
        <v>8412</v>
      </c>
      <c r="AE330" s="253">
        <v>7833</v>
      </c>
      <c r="AF330" s="253">
        <v>8765</v>
      </c>
      <c r="AG330" s="352">
        <v>7956</v>
      </c>
      <c r="AH330" s="226">
        <v>7486</v>
      </c>
      <c r="AI330" s="253">
        <v>7236</v>
      </c>
      <c r="AJ330" s="253">
        <v>7959</v>
      </c>
      <c r="AK330" s="352">
        <v>6870</v>
      </c>
      <c r="AL330" s="226">
        <v>5141</v>
      </c>
      <c r="AM330" s="253">
        <v>4664</v>
      </c>
      <c r="AN330" s="253">
        <v>5585</v>
      </c>
      <c r="AO330" s="352">
        <v>5778</v>
      </c>
      <c r="AP330" s="226">
        <v>4813</v>
      </c>
      <c r="AQ330" s="253">
        <v>3332</v>
      </c>
      <c r="AR330" s="253"/>
      <c r="AS330" s="352"/>
    </row>
    <row r="331" spans="2:45" s="208" customFormat="1" x14ac:dyDescent="0.25">
      <c r="B331" s="227" t="s">
        <v>146</v>
      </c>
      <c r="F331" s="226">
        <v>1328.2901584722767</v>
      </c>
      <c r="G331" s="253">
        <v>1338.2121727641875</v>
      </c>
      <c r="H331" s="253">
        <v>1490.1562508629127</v>
      </c>
      <c r="I331" s="253">
        <v>1693.9804179006219</v>
      </c>
      <c r="J331" s="226">
        <v>1157.9594587896559</v>
      </c>
      <c r="K331" s="253">
        <v>1211.6748215361167</v>
      </c>
      <c r="L331" s="253">
        <v>1383.9738760260711</v>
      </c>
      <c r="M331" s="253">
        <v>1235.5928436481558</v>
      </c>
      <c r="N331" s="226">
        <v>1358.29</v>
      </c>
      <c r="O331" s="253">
        <v>1752.8969999999999</v>
      </c>
      <c r="P331" s="253">
        <v>1021.475</v>
      </c>
      <c r="Q331" s="253">
        <v>1090.71</v>
      </c>
      <c r="R331" s="226">
        <v>2292</v>
      </c>
      <c r="S331" s="253">
        <v>1755</v>
      </c>
      <c r="T331" s="253">
        <v>1717.4</v>
      </c>
      <c r="U331" s="253">
        <v>3213</v>
      </c>
      <c r="V331" s="226">
        <v>2584</v>
      </c>
      <c r="W331" s="253">
        <v>2823</v>
      </c>
      <c r="X331" s="253">
        <v>3456.4</v>
      </c>
      <c r="Y331" s="352">
        <v>4428</v>
      </c>
      <c r="Z331" s="226">
        <v>3979</v>
      </c>
      <c r="AA331" s="253">
        <v>2292.0936000000006</v>
      </c>
      <c r="AB331" s="253">
        <v>3125.5966999999991</v>
      </c>
      <c r="AC331" s="352">
        <v>2868</v>
      </c>
      <c r="AD331" s="226">
        <v>3326</v>
      </c>
      <c r="AE331" s="253">
        <v>3107</v>
      </c>
      <c r="AF331" s="253">
        <v>3682</v>
      </c>
      <c r="AG331" s="352">
        <v>3345</v>
      </c>
      <c r="AH331" s="226">
        <v>3074</v>
      </c>
      <c r="AI331" s="253">
        <v>2972</v>
      </c>
      <c r="AJ331" s="253">
        <v>3183</v>
      </c>
      <c r="AK331" s="352">
        <v>2493</v>
      </c>
      <c r="AL331" s="226">
        <v>1948</v>
      </c>
      <c r="AM331" s="253">
        <v>1760</v>
      </c>
      <c r="AN331" s="253">
        <v>2259</v>
      </c>
      <c r="AO331" s="352">
        <v>1852</v>
      </c>
      <c r="AP331" s="226">
        <v>2169</v>
      </c>
      <c r="AQ331" s="253">
        <v>1307</v>
      </c>
      <c r="AR331" s="253"/>
      <c r="AS331" s="352"/>
    </row>
    <row r="332" spans="2:45" s="208" customFormat="1" x14ac:dyDescent="0.25">
      <c r="B332" s="227" t="s">
        <v>147</v>
      </c>
      <c r="F332" s="226">
        <v>355.52102270951218</v>
      </c>
      <c r="G332" s="253">
        <v>370.64284336038156</v>
      </c>
      <c r="H332" s="253">
        <v>397.42974776690676</v>
      </c>
      <c r="I332" s="253">
        <v>443.45238616319944</v>
      </c>
      <c r="J332" s="226">
        <v>341.91148373603767</v>
      </c>
      <c r="K332" s="253">
        <v>359.94104504641808</v>
      </c>
      <c r="L332" s="253">
        <v>392.89997823294885</v>
      </c>
      <c r="M332" s="253">
        <v>274.92549298459573</v>
      </c>
      <c r="N332" s="226">
        <v>352.3</v>
      </c>
      <c r="O332" s="253">
        <v>465.76799999999997</v>
      </c>
      <c r="P332" s="253">
        <v>234.524</v>
      </c>
      <c r="Q332" s="253">
        <v>233.27099999999973</v>
      </c>
      <c r="R332" s="226">
        <v>499</v>
      </c>
      <c r="S332" s="253">
        <v>451</v>
      </c>
      <c r="T332" s="253">
        <v>181.2</v>
      </c>
      <c r="U332" s="253">
        <v>684</v>
      </c>
      <c r="V332" s="226">
        <v>495</v>
      </c>
      <c r="W332" s="253">
        <v>621</v>
      </c>
      <c r="X332" s="253">
        <v>805</v>
      </c>
      <c r="Y332" s="352">
        <v>1022</v>
      </c>
      <c r="Z332" s="226">
        <v>993.4</v>
      </c>
      <c r="AA332" s="253">
        <v>417.34390000000008</v>
      </c>
      <c r="AB332" s="253">
        <v>703.21469999999988</v>
      </c>
      <c r="AC332" s="352">
        <v>617</v>
      </c>
      <c r="AD332" s="226">
        <v>686</v>
      </c>
      <c r="AE332" s="253">
        <v>653</v>
      </c>
      <c r="AF332" s="253">
        <v>855</v>
      </c>
      <c r="AG332" s="352">
        <v>784</v>
      </c>
      <c r="AH332" s="226">
        <v>668</v>
      </c>
      <c r="AI332" s="253">
        <v>626</v>
      </c>
      <c r="AJ332" s="253">
        <v>643</v>
      </c>
      <c r="AK332" s="352">
        <v>469</v>
      </c>
      <c r="AL332" s="226">
        <v>363</v>
      </c>
      <c r="AM332" s="253">
        <v>339</v>
      </c>
      <c r="AN332" s="253">
        <v>449</v>
      </c>
      <c r="AO332" s="352">
        <v>465</v>
      </c>
      <c r="AP332" s="226">
        <v>352</v>
      </c>
      <c r="AQ332" s="253">
        <v>286</v>
      </c>
      <c r="AR332" s="253"/>
      <c r="AS332" s="352"/>
    </row>
    <row r="333" spans="2:45" s="208" customFormat="1" x14ac:dyDescent="0.25">
      <c r="B333" s="227" t="s">
        <v>148</v>
      </c>
      <c r="F333" s="226">
        <v>132.73578187249859</v>
      </c>
      <c r="G333" s="255">
        <v>152.5456619930336</v>
      </c>
      <c r="H333" s="255">
        <v>159.91303305227012</v>
      </c>
      <c r="I333" s="255">
        <v>180.9225230821977</v>
      </c>
      <c r="J333" s="268">
        <v>109.80675419209977</v>
      </c>
      <c r="K333" s="255">
        <v>107.68135253208553</v>
      </c>
      <c r="L333" s="255">
        <v>127.44668282840891</v>
      </c>
      <c r="M333" s="255">
        <v>210.88221044740584</v>
      </c>
      <c r="N333" s="268">
        <v>172.38</v>
      </c>
      <c r="O333" s="255">
        <v>200.52800000000002</v>
      </c>
      <c r="P333" s="255">
        <v>145.75899999999999</v>
      </c>
      <c r="Q333" s="255">
        <v>267.16199999999992</v>
      </c>
      <c r="R333" s="268">
        <v>428</v>
      </c>
      <c r="S333" s="255">
        <v>324</v>
      </c>
      <c r="T333" s="255">
        <v>850.2</v>
      </c>
      <c r="U333" s="255">
        <v>659</v>
      </c>
      <c r="V333" s="268">
        <v>675</v>
      </c>
      <c r="W333" s="255">
        <v>520</v>
      </c>
      <c r="X333" s="255">
        <v>549.4</v>
      </c>
      <c r="Y333" s="478">
        <v>680</v>
      </c>
      <c r="Z333" s="268">
        <v>548.4</v>
      </c>
      <c r="AA333" s="255">
        <v>512.58309999999994</v>
      </c>
      <c r="AB333" s="255">
        <v>581.70920000000001</v>
      </c>
      <c r="AC333" s="478">
        <v>549</v>
      </c>
      <c r="AD333" s="268">
        <v>678</v>
      </c>
      <c r="AE333" s="255">
        <v>624</v>
      </c>
      <c r="AF333" s="255">
        <v>562</v>
      </c>
      <c r="AG333" s="478">
        <v>533</v>
      </c>
      <c r="AH333" s="268">
        <v>566</v>
      </c>
      <c r="AI333" s="255">
        <v>541</v>
      </c>
      <c r="AJ333" s="255">
        <v>656</v>
      </c>
      <c r="AK333" s="478">
        <v>660</v>
      </c>
      <c r="AL333" s="268">
        <v>476</v>
      </c>
      <c r="AM333" s="255">
        <v>371</v>
      </c>
      <c r="AN333" s="255">
        <v>424</v>
      </c>
      <c r="AO333" s="478">
        <v>429</v>
      </c>
      <c r="AP333" s="268">
        <v>384</v>
      </c>
      <c r="AQ333" s="255">
        <v>278</v>
      </c>
      <c r="AR333" s="255"/>
      <c r="AS333" s="478"/>
    </row>
    <row r="334" spans="2:45" s="208" customFormat="1" x14ac:dyDescent="0.25">
      <c r="B334" s="331" t="s">
        <v>170</v>
      </c>
      <c r="C334" s="333"/>
      <c r="D334" s="333"/>
      <c r="E334" s="333"/>
      <c r="F334" s="267">
        <f t="shared" ref="F334:Q334" si="608">SUM(F330:F333)</f>
        <v>4327.7752802871019</v>
      </c>
      <c r="G334" s="254">
        <f t="shared" si="608"/>
        <v>4570.0257867058444</v>
      </c>
      <c r="H334" s="254">
        <f t="shared" si="608"/>
        <v>4970.7873695710005</v>
      </c>
      <c r="I334" s="254">
        <f t="shared" si="608"/>
        <v>5574.567563436055</v>
      </c>
      <c r="J334" s="267">
        <f t="shared" si="608"/>
        <v>3723.4702267445914</v>
      </c>
      <c r="K334" s="254">
        <f t="shared" si="608"/>
        <v>3995</v>
      </c>
      <c r="L334" s="254">
        <f t="shared" si="608"/>
        <v>4850.6994076803785</v>
      </c>
      <c r="M334" s="254">
        <f t="shared" si="608"/>
        <v>5009.0993655750281</v>
      </c>
      <c r="N334" s="267">
        <f t="shared" si="608"/>
        <v>4878.3700000000008</v>
      </c>
      <c r="O334" s="254">
        <f t="shared" si="608"/>
        <v>6864.1169999999993</v>
      </c>
      <c r="P334" s="254">
        <f t="shared" si="608"/>
        <v>4145.8529999999992</v>
      </c>
      <c r="Q334" s="254">
        <f t="shared" si="608"/>
        <v>4646.5240000000013</v>
      </c>
      <c r="R334" s="267">
        <f t="shared" ref="R334:S334" si="609">SUM(R330:R333)</f>
        <v>9272</v>
      </c>
      <c r="S334" s="254">
        <f t="shared" si="609"/>
        <v>6949</v>
      </c>
      <c r="T334" s="254">
        <f t="shared" ref="T334:U334" si="610">SUM(T330:T333)</f>
        <v>10222.700000000001</v>
      </c>
      <c r="U334" s="254">
        <f t="shared" si="610"/>
        <v>12397</v>
      </c>
      <c r="V334" s="267">
        <f t="shared" ref="V334:W334" si="611">SUM(V330:V333)</f>
        <v>10734</v>
      </c>
      <c r="W334" s="254">
        <f t="shared" si="611"/>
        <v>11108</v>
      </c>
      <c r="X334" s="254">
        <f t="shared" ref="X334:AA334" si="612">SUM(X330:X333)</f>
        <v>13726.199999999999</v>
      </c>
      <c r="Y334" s="382">
        <f t="shared" si="612"/>
        <v>16928</v>
      </c>
      <c r="Z334" s="267">
        <f t="shared" si="612"/>
        <v>15143.8</v>
      </c>
      <c r="AA334" s="254">
        <f t="shared" si="612"/>
        <v>9657.9337999999971</v>
      </c>
      <c r="AB334" s="254">
        <f t="shared" ref="AB334:AD334" si="613">SUM(AB330:AB333)</f>
        <v>12318.920599999999</v>
      </c>
      <c r="AC334" s="382">
        <f t="shared" si="613"/>
        <v>11239</v>
      </c>
      <c r="AD334" s="267">
        <f t="shared" si="613"/>
        <v>13102</v>
      </c>
      <c r="AE334" s="254">
        <f>SUM(AE330:AE333)</f>
        <v>12217</v>
      </c>
      <c r="AF334" s="254">
        <f t="shared" ref="AF334:AH334" si="614">SUM(AF330:AF333)</f>
        <v>13864</v>
      </c>
      <c r="AG334" s="382">
        <f t="shared" si="614"/>
        <v>12618</v>
      </c>
      <c r="AH334" s="267">
        <f t="shared" si="614"/>
        <v>11794</v>
      </c>
      <c r="AI334" s="254">
        <f>SUM(AI330:AI333)</f>
        <v>11375</v>
      </c>
      <c r="AJ334" s="254">
        <f t="shared" ref="AJ334:AO334" si="615">SUM(AJ330:AJ333)</f>
        <v>12441</v>
      </c>
      <c r="AK334" s="382">
        <f t="shared" si="615"/>
        <v>10492</v>
      </c>
      <c r="AL334" s="267">
        <f t="shared" si="615"/>
        <v>7928</v>
      </c>
      <c r="AM334" s="254">
        <f t="shared" si="615"/>
        <v>7134</v>
      </c>
      <c r="AN334" s="254">
        <f t="shared" si="615"/>
        <v>8717</v>
      </c>
      <c r="AO334" s="382">
        <f t="shared" si="615"/>
        <v>8524</v>
      </c>
      <c r="AP334" s="267">
        <f t="shared" ref="AP334:AS334" si="616">SUM(AP330:AP333)</f>
        <v>7718</v>
      </c>
      <c r="AQ334" s="254">
        <f t="shared" si="616"/>
        <v>5203</v>
      </c>
      <c r="AR334" s="254">
        <f t="shared" si="616"/>
        <v>0</v>
      </c>
      <c r="AS334" s="382">
        <f t="shared" si="616"/>
        <v>0</v>
      </c>
    </row>
    <row r="335" spans="2:45" s="208" customFormat="1" x14ac:dyDescent="0.25">
      <c r="B335" s="227" t="s">
        <v>150</v>
      </c>
      <c r="F335" s="380">
        <v>692.44404484593633</v>
      </c>
      <c r="G335" s="253">
        <v>731.20412587293526</v>
      </c>
      <c r="H335" s="253">
        <v>795.32597913135987</v>
      </c>
      <c r="I335" s="253">
        <v>754.86185014976866</v>
      </c>
      <c r="J335" s="226">
        <v>595.75523627913469</v>
      </c>
      <c r="K335" s="253">
        <v>640.80998762074182</v>
      </c>
      <c r="L335" s="253">
        <v>776.11190522886068</v>
      </c>
      <c r="M335" s="253">
        <v>765.8988708712626</v>
      </c>
      <c r="N335" s="226">
        <v>780</v>
      </c>
      <c r="O335" s="253">
        <v>982.04300000000012</v>
      </c>
      <c r="P335" s="253">
        <v>549.33000000000004</v>
      </c>
      <c r="Q335" s="253">
        <v>597.60500000000002</v>
      </c>
      <c r="R335" s="226">
        <v>846</v>
      </c>
      <c r="S335" s="253">
        <v>794</v>
      </c>
      <c r="T335" s="253">
        <v>552.29999999999995</v>
      </c>
      <c r="U335" s="253">
        <v>941</v>
      </c>
      <c r="V335" s="226">
        <v>954</v>
      </c>
      <c r="W335" s="253">
        <v>1185</v>
      </c>
      <c r="X335" s="253">
        <v>1461.2</v>
      </c>
      <c r="Y335" s="352">
        <v>1934</v>
      </c>
      <c r="Z335" s="226">
        <v>1776</v>
      </c>
      <c r="AA335" s="253">
        <v>859.72000000000025</v>
      </c>
      <c r="AB335" s="253">
        <v>1448</v>
      </c>
      <c r="AC335" s="352">
        <v>1205</v>
      </c>
      <c r="AD335" s="226">
        <v>1218</v>
      </c>
      <c r="AE335" s="253">
        <v>1245</v>
      </c>
      <c r="AF335" s="253">
        <v>1644</v>
      </c>
      <c r="AG335" s="352">
        <v>1496</v>
      </c>
      <c r="AH335" s="226">
        <v>1347</v>
      </c>
      <c r="AI335" s="253">
        <v>1273</v>
      </c>
      <c r="AJ335" s="253">
        <v>1378</v>
      </c>
      <c r="AK335" s="352">
        <v>1073</v>
      </c>
      <c r="AL335" s="226">
        <v>755</v>
      </c>
      <c r="AM335" s="253">
        <v>715</v>
      </c>
      <c r="AN335" s="253">
        <v>974</v>
      </c>
      <c r="AO335" s="352">
        <v>1042</v>
      </c>
      <c r="AP335" s="226">
        <v>726</v>
      </c>
      <c r="AQ335" s="253">
        <v>570</v>
      </c>
      <c r="AR335" s="253"/>
      <c r="AS335" s="352"/>
    </row>
    <row r="336" spans="2:45" s="208" customFormat="1" x14ac:dyDescent="0.25">
      <c r="B336" s="227" t="s">
        <v>151</v>
      </c>
      <c r="F336" s="380">
        <v>0</v>
      </c>
      <c r="G336" s="255">
        <v>0</v>
      </c>
      <c r="H336" s="255">
        <v>0</v>
      </c>
      <c r="I336" s="255">
        <v>0</v>
      </c>
      <c r="J336" s="268">
        <v>0</v>
      </c>
      <c r="K336" s="255">
        <v>0</v>
      </c>
      <c r="L336" s="255">
        <v>0</v>
      </c>
      <c r="M336" s="255">
        <v>0</v>
      </c>
      <c r="N336" s="268">
        <v>0</v>
      </c>
      <c r="O336" s="255">
        <v>0</v>
      </c>
      <c r="P336" s="255">
        <v>0</v>
      </c>
      <c r="Q336" s="255">
        <v>0</v>
      </c>
      <c r="R336" s="268">
        <v>0</v>
      </c>
      <c r="S336" s="255">
        <v>0</v>
      </c>
      <c r="T336" s="255">
        <v>0</v>
      </c>
      <c r="U336" s="255">
        <v>0</v>
      </c>
      <c r="V336" s="268">
        <v>0</v>
      </c>
      <c r="W336" s="255"/>
      <c r="X336" s="255"/>
      <c r="Y336" s="478"/>
      <c r="Z336" s="268"/>
      <c r="AA336" s="255">
        <v>0</v>
      </c>
      <c r="AB336" s="255">
        <v>0</v>
      </c>
      <c r="AC336" s="478">
        <v>0</v>
      </c>
      <c r="AD336" s="268">
        <v>0</v>
      </c>
      <c r="AE336" s="255">
        <v>0</v>
      </c>
      <c r="AF336" s="255">
        <v>0</v>
      </c>
      <c r="AG336" s="478">
        <v>0</v>
      </c>
      <c r="AH336" s="268">
        <v>0</v>
      </c>
      <c r="AI336" s="255">
        <v>0</v>
      </c>
      <c r="AJ336" s="255">
        <v>0</v>
      </c>
      <c r="AK336" s="478">
        <v>0</v>
      </c>
      <c r="AL336" s="268">
        <v>0</v>
      </c>
      <c r="AM336" s="255">
        <v>0</v>
      </c>
      <c r="AN336" s="255">
        <v>0</v>
      </c>
      <c r="AO336" s="478">
        <v>0</v>
      </c>
      <c r="AP336" s="268">
        <v>0</v>
      </c>
      <c r="AQ336" s="255">
        <v>0</v>
      </c>
      <c r="AR336" s="255"/>
      <c r="AS336" s="478"/>
    </row>
    <row r="337" spans="2:45" s="208" customFormat="1" x14ac:dyDescent="0.25">
      <c r="B337" s="332" t="s">
        <v>171</v>
      </c>
      <c r="C337" s="336"/>
      <c r="D337" s="336"/>
      <c r="E337" s="336"/>
      <c r="F337" s="269">
        <f t="shared" ref="F337:P337" si="617">SUM(F334:F336)</f>
        <v>5020.2193251330382</v>
      </c>
      <c r="G337" s="256">
        <f t="shared" si="617"/>
        <v>5301.2299125787795</v>
      </c>
      <c r="H337" s="256">
        <f t="shared" si="617"/>
        <v>5766.1133487023599</v>
      </c>
      <c r="I337" s="256">
        <f t="shared" si="617"/>
        <v>6329.4294135858236</v>
      </c>
      <c r="J337" s="269">
        <f t="shared" si="617"/>
        <v>4319.2254630237258</v>
      </c>
      <c r="K337" s="256">
        <f t="shared" si="617"/>
        <v>4635.8099876207416</v>
      </c>
      <c r="L337" s="256">
        <f t="shared" si="617"/>
        <v>5626.8113129092389</v>
      </c>
      <c r="M337" s="256">
        <f t="shared" si="617"/>
        <v>5774.9982364462903</v>
      </c>
      <c r="N337" s="269">
        <f t="shared" si="617"/>
        <v>5658.3700000000008</v>
      </c>
      <c r="O337" s="256">
        <f t="shared" si="617"/>
        <v>7846.16</v>
      </c>
      <c r="P337" s="256">
        <f t="shared" si="617"/>
        <v>4695.1829999999991</v>
      </c>
      <c r="Q337" s="256">
        <f t="shared" ref="Q337:R337" si="618">SUM(Q334:Q336)</f>
        <v>5244.1290000000008</v>
      </c>
      <c r="R337" s="269">
        <f t="shared" si="618"/>
        <v>10118</v>
      </c>
      <c r="S337" s="256">
        <f t="shared" ref="S337:T337" si="619">SUM(S334:S336)</f>
        <v>7743</v>
      </c>
      <c r="T337" s="256">
        <f t="shared" si="619"/>
        <v>10775</v>
      </c>
      <c r="U337" s="256">
        <f t="shared" ref="U337:W337" si="620">SUM(U334:U336)</f>
        <v>13338</v>
      </c>
      <c r="V337" s="269">
        <f t="shared" si="620"/>
        <v>11688</v>
      </c>
      <c r="W337" s="256">
        <f t="shared" si="620"/>
        <v>12293</v>
      </c>
      <c r="X337" s="256">
        <f t="shared" ref="X337:AA337" si="621">SUM(X334:X336)</f>
        <v>15187.4</v>
      </c>
      <c r="Y337" s="479">
        <f t="shared" si="621"/>
        <v>18862</v>
      </c>
      <c r="Z337" s="269">
        <f t="shared" si="621"/>
        <v>16919.8</v>
      </c>
      <c r="AA337" s="256">
        <f t="shared" si="621"/>
        <v>10517.653799999996</v>
      </c>
      <c r="AB337" s="256">
        <f t="shared" ref="AB337:AE337" si="622">SUM(AB334:AB336)</f>
        <v>13766.920599999999</v>
      </c>
      <c r="AC337" s="479">
        <f t="shared" si="622"/>
        <v>12444</v>
      </c>
      <c r="AD337" s="269">
        <f t="shared" si="622"/>
        <v>14320</v>
      </c>
      <c r="AE337" s="256">
        <f t="shared" si="622"/>
        <v>13462</v>
      </c>
      <c r="AF337" s="256">
        <f t="shared" ref="AF337:AI337" si="623">SUM(AF334:AF336)</f>
        <v>15508</v>
      </c>
      <c r="AG337" s="479">
        <f t="shared" si="623"/>
        <v>14114</v>
      </c>
      <c r="AH337" s="269">
        <f t="shared" si="623"/>
        <v>13141</v>
      </c>
      <c r="AI337" s="256">
        <f t="shared" si="623"/>
        <v>12648</v>
      </c>
      <c r="AJ337" s="256">
        <f t="shared" ref="AJ337:AO337" si="624">SUM(AJ334:AJ336)</f>
        <v>13819</v>
      </c>
      <c r="AK337" s="479">
        <f t="shared" si="624"/>
        <v>11565</v>
      </c>
      <c r="AL337" s="269">
        <f t="shared" si="624"/>
        <v>8683</v>
      </c>
      <c r="AM337" s="256">
        <f t="shared" si="624"/>
        <v>7849</v>
      </c>
      <c r="AN337" s="256">
        <f t="shared" si="624"/>
        <v>9691</v>
      </c>
      <c r="AO337" s="479">
        <f t="shared" si="624"/>
        <v>9566</v>
      </c>
      <c r="AP337" s="269">
        <f t="shared" ref="AP337:AS337" si="625">SUM(AP334:AP336)</f>
        <v>8444</v>
      </c>
      <c r="AQ337" s="256">
        <f t="shared" si="625"/>
        <v>5773</v>
      </c>
      <c r="AR337" s="256">
        <f t="shared" si="625"/>
        <v>0</v>
      </c>
      <c r="AS337" s="479">
        <f t="shared" si="625"/>
        <v>0</v>
      </c>
    </row>
    <row r="338" spans="2:45" s="208" customFormat="1" x14ac:dyDescent="0.25">
      <c r="F338" s="225"/>
      <c r="J338" s="225"/>
      <c r="N338" s="225"/>
      <c r="R338" s="225"/>
      <c r="V338" s="225"/>
      <c r="Y338" s="227"/>
      <c r="Z338" s="225"/>
      <c r="AC338" s="227"/>
      <c r="AD338" s="225"/>
      <c r="AG338" s="227"/>
      <c r="AH338" s="225"/>
      <c r="AK338" s="227"/>
      <c r="AL338" s="225"/>
      <c r="AO338" s="227"/>
      <c r="AP338" s="225"/>
      <c r="AS338" s="227"/>
    </row>
    <row r="339" spans="2:45" s="208" customFormat="1" x14ac:dyDescent="0.25">
      <c r="B339" s="330" t="s">
        <v>153</v>
      </c>
      <c r="C339" s="333"/>
      <c r="D339" s="333"/>
      <c r="E339" s="257"/>
      <c r="F339" s="334"/>
      <c r="G339" s="257"/>
      <c r="H339" s="257"/>
      <c r="I339" s="257"/>
      <c r="J339" s="270"/>
      <c r="K339" s="257"/>
      <c r="L339" s="257"/>
      <c r="M339" s="257"/>
      <c r="N339" s="270"/>
      <c r="O339" s="257"/>
      <c r="P339" s="257"/>
      <c r="Q339" s="257"/>
      <c r="R339" s="270"/>
      <c r="S339" s="257"/>
      <c r="T339" s="257"/>
      <c r="U339" s="257"/>
      <c r="V339" s="270"/>
      <c r="W339" s="257"/>
      <c r="X339" s="257"/>
      <c r="Y339" s="477"/>
      <c r="Z339" s="270"/>
      <c r="AA339" s="257"/>
      <c r="AB339" s="257"/>
      <c r="AC339" s="477"/>
      <c r="AD339" s="270"/>
      <c r="AE339" s="257"/>
      <c r="AF339" s="257"/>
      <c r="AG339" s="477"/>
      <c r="AH339" s="270"/>
      <c r="AI339" s="257"/>
      <c r="AJ339" s="257"/>
      <c r="AK339" s="477"/>
      <c r="AL339" s="270"/>
      <c r="AM339" s="257"/>
      <c r="AN339" s="257"/>
      <c r="AO339" s="477"/>
      <c r="AP339" s="270"/>
      <c r="AQ339" s="257"/>
      <c r="AR339" s="257"/>
      <c r="AS339" s="477"/>
    </row>
    <row r="340" spans="2:45" s="208" customFormat="1" x14ac:dyDescent="0.25">
      <c r="B340" s="227" t="s">
        <v>145</v>
      </c>
      <c r="F340" s="226">
        <v>118248.22973928269</v>
      </c>
      <c r="G340" s="253">
        <v>125039.12563071729</v>
      </c>
      <c r="H340" s="253">
        <v>122437.38381999993</v>
      </c>
      <c r="I340" s="253">
        <v>116532.54121014822</v>
      </c>
      <c r="J340" s="226">
        <v>116404.83437279557</v>
      </c>
      <c r="K340" s="253">
        <v>109725.33515308818</v>
      </c>
      <c r="L340" s="253">
        <v>121855.68120587178</v>
      </c>
      <c r="M340" s="253">
        <v>116890.10429427173</v>
      </c>
      <c r="N340" s="226">
        <v>102111.60699999999</v>
      </c>
      <c r="O340" s="253">
        <v>101965.91699999999</v>
      </c>
      <c r="P340" s="253">
        <v>106127.66800000001</v>
      </c>
      <c r="Q340" s="253">
        <v>103396.89800000002</v>
      </c>
      <c r="R340" s="226">
        <v>92278.3</v>
      </c>
      <c r="S340" s="253">
        <v>42158</v>
      </c>
      <c r="T340" s="253">
        <v>91782.125</v>
      </c>
      <c r="U340" s="253">
        <v>107459</v>
      </c>
      <c r="V340" s="226">
        <v>93817.4</v>
      </c>
      <c r="W340" s="253">
        <v>100916.5</v>
      </c>
      <c r="X340" s="253">
        <v>108212</v>
      </c>
      <c r="Y340" s="352">
        <v>94537</v>
      </c>
      <c r="Z340" s="226">
        <v>87884</v>
      </c>
      <c r="AA340" s="253">
        <v>91209.025000000023</v>
      </c>
      <c r="AB340" s="253">
        <v>104558.39999999999</v>
      </c>
      <c r="AC340" s="352">
        <v>85118</v>
      </c>
      <c r="AD340" s="226">
        <v>86713</v>
      </c>
      <c r="AE340" s="253">
        <v>97524</v>
      </c>
      <c r="AF340" s="253">
        <v>106489</v>
      </c>
      <c r="AG340" s="352">
        <v>94550</v>
      </c>
      <c r="AH340" s="226">
        <v>79583</v>
      </c>
      <c r="AI340" s="253">
        <v>91712</v>
      </c>
      <c r="AJ340" s="253">
        <v>97257</v>
      </c>
      <c r="AK340" s="352">
        <v>86869</v>
      </c>
      <c r="AL340" s="226">
        <v>116658</v>
      </c>
      <c r="AM340" s="253">
        <v>132132</v>
      </c>
      <c r="AN340" s="253">
        <v>155799</v>
      </c>
      <c r="AO340" s="352">
        <v>135174</v>
      </c>
      <c r="AP340" s="226">
        <v>114836</v>
      </c>
      <c r="AQ340" s="253">
        <v>125802</v>
      </c>
      <c r="AR340" s="253"/>
      <c r="AS340" s="352"/>
    </row>
    <row r="341" spans="2:45" s="208" customFormat="1" x14ac:dyDescent="0.25">
      <c r="B341" s="227" t="s">
        <v>146</v>
      </c>
      <c r="F341" s="226">
        <v>58035.945279310239</v>
      </c>
      <c r="G341" s="253">
        <v>63293.973270689748</v>
      </c>
      <c r="H341" s="253">
        <v>63074.512700000043</v>
      </c>
      <c r="I341" s="253">
        <v>58888.128168369818</v>
      </c>
      <c r="J341" s="226">
        <v>58513.646286837924</v>
      </c>
      <c r="K341" s="253">
        <v>54344.467697417102</v>
      </c>
      <c r="L341" s="253">
        <v>61211.871652819289</v>
      </c>
      <c r="M341" s="253">
        <v>58044.894777010959</v>
      </c>
      <c r="N341" s="226">
        <v>51590.963000000003</v>
      </c>
      <c r="O341" s="253">
        <v>51568.195000000007</v>
      </c>
      <c r="P341" s="253">
        <v>55461.572999999997</v>
      </c>
      <c r="Q341" s="253">
        <v>53118.434999999998</v>
      </c>
      <c r="R341" s="226">
        <v>46291.4</v>
      </c>
      <c r="S341" s="253">
        <f>20186+1</f>
        <v>20187</v>
      </c>
      <c r="T341" s="253">
        <v>46853.956000000006</v>
      </c>
      <c r="U341" s="253">
        <v>56047</v>
      </c>
      <c r="V341" s="226">
        <v>46754.2</v>
      </c>
      <c r="W341" s="253">
        <v>52568.5</v>
      </c>
      <c r="X341" s="253">
        <v>56354</v>
      </c>
      <c r="Y341" s="352">
        <v>48683</v>
      </c>
      <c r="Z341" s="226">
        <v>45274</v>
      </c>
      <c r="AA341" s="253">
        <v>47925.76400000001</v>
      </c>
      <c r="AB341" s="253">
        <v>55509.771744999998</v>
      </c>
      <c r="AC341" s="352">
        <v>44109</v>
      </c>
      <c r="AD341" s="226">
        <v>45108</v>
      </c>
      <c r="AE341" s="253">
        <v>51594</v>
      </c>
      <c r="AF341" s="253">
        <v>56192</v>
      </c>
      <c r="AG341" s="352">
        <v>50046</v>
      </c>
      <c r="AH341" s="226">
        <v>42771</v>
      </c>
      <c r="AI341" s="253">
        <v>49307</v>
      </c>
      <c r="AJ341" s="253">
        <v>51820</v>
      </c>
      <c r="AK341" s="352">
        <v>45495</v>
      </c>
      <c r="AL341" s="226">
        <v>61164</v>
      </c>
      <c r="AM341" s="253">
        <v>69535</v>
      </c>
      <c r="AN341" s="253">
        <v>82286</v>
      </c>
      <c r="AO341" s="352">
        <v>70326</v>
      </c>
      <c r="AP341" s="226">
        <v>59833</v>
      </c>
      <c r="AQ341" s="253">
        <v>67697</v>
      </c>
      <c r="AR341" s="253"/>
      <c r="AS341" s="352"/>
    </row>
    <row r="342" spans="2:45" s="208" customFormat="1" x14ac:dyDescent="0.25">
      <c r="B342" s="227" t="s">
        <v>147</v>
      </c>
      <c r="F342" s="226">
        <v>12239.041795455973</v>
      </c>
      <c r="G342" s="253">
        <v>20874.516834544025</v>
      </c>
      <c r="H342" s="253">
        <v>17285.917050000007</v>
      </c>
      <c r="I342" s="253">
        <v>16341.353506436299</v>
      </c>
      <c r="J342" s="226">
        <v>16321.163945444183</v>
      </c>
      <c r="K342" s="253">
        <v>11406.035367146553</v>
      </c>
      <c r="L342" s="253">
        <v>16992.206707092464</v>
      </c>
      <c r="M342" s="253">
        <v>16235.373388229629</v>
      </c>
      <c r="N342" s="226">
        <v>14632.769</v>
      </c>
      <c r="O342" s="253">
        <v>14462.891000000001</v>
      </c>
      <c r="P342" s="253">
        <v>15608.725</v>
      </c>
      <c r="Q342" s="253">
        <v>15106.547</v>
      </c>
      <c r="R342" s="226">
        <v>13129.4</v>
      </c>
      <c r="S342" s="253">
        <v>5369</v>
      </c>
      <c r="T342" s="253">
        <v>13117.936</v>
      </c>
      <c r="U342" s="253">
        <v>15515</v>
      </c>
      <c r="V342" s="226">
        <v>13107</v>
      </c>
      <c r="W342" s="253">
        <v>15082</v>
      </c>
      <c r="X342" s="253">
        <v>15621</v>
      </c>
      <c r="Y342" s="352">
        <v>14071.85</v>
      </c>
      <c r="Z342" s="226">
        <v>13007</v>
      </c>
      <c r="AA342" s="253">
        <v>13855.762999999999</v>
      </c>
      <c r="AB342" s="253">
        <v>16378.421119999999</v>
      </c>
      <c r="AC342" s="352">
        <v>12611</v>
      </c>
      <c r="AD342" s="226">
        <v>12859</v>
      </c>
      <c r="AE342" s="253">
        <v>15157</v>
      </c>
      <c r="AF342" s="253">
        <v>16396</v>
      </c>
      <c r="AG342" s="352">
        <v>14654</v>
      </c>
      <c r="AH342" s="226">
        <v>12444</v>
      </c>
      <c r="AI342" s="253">
        <v>14634</v>
      </c>
      <c r="AJ342" s="253">
        <v>15293</v>
      </c>
      <c r="AK342" s="352">
        <v>13134</v>
      </c>
      <c r="AL342" s="226">
        <v>19009</v>
      </c>
      <c r="AM342" s="253">
        <v>21566</v>
      </c>
      <c r="AN342" s="253">
        <v>25739</v>
      </c>
      <c r="AO342" s="352">
        <v>21745</v>
      </c>
      <c r="AP342" s="226">
        <v>18514</v>
      </c>
      <c r="AQ342" s="253">
        <v>21302</v>
      </c>
      <c r="AR342" s="253"/>
      <c r="AS342" s="352"/>
    </row>
    <row r="343" spans="2:45" s="208" customFormat="1" x14ac:dyDescent="0.25">
      <c r="B343" s="227" t="s">
        <v>148</v>
      </c>
      <c r="F343" s="226">
        <v>7783.6808989620458</v>
      </c>
      <c r="G343" s="255">
        <v>802.09710103795169</v>
      </c>
      <c r="H343" s="255">
        <v>4447.3159999999998</v>
      </c>
      <c r="I343" s="255">
        <v>4203.3160315369341</v>
      </c>
      <c r="J343" s="268">
        <v>4338.7550708096915</v>
      </c>
      <c r="K343" s="255">
        <v>7663.3489853586452</v>
      </c>
      <c r="L343" s="255">
        <v>4414.3315218841772</v>
      </c>
      <c r="M343" s="255">
        <v>3983.7840090430673</v>
      </c>
      <c r="N343" s="268">
        <v>3177.3879999999995</v>
      </c>
      <c r="O343" s="255">
        <v>3170.08</v>
      </c>
      <c r="P343" s="255">
        <v>3071.2159999999999</v>
      </c>
      <c r="Q343" s="255">
        <v>3069.5070000000005</v>
      </c>
      <c r="R343" s="268">
        <v>2868.4</v>
      </c>
      <c r="S343" s="255">
        <v>1900</v>
      </c>
      <c r="T343" s="255">
        <v>3150.402</v>
      </c>
      <c r="U343" s="255">
        <v>3467</v>
      </c>
      <c r="V343" s="268">
        <v>3277</v>
      </c>
      <c r="W343" s="255">
        <v>3031</v>
      </c>
      <c r="X343" s="255">
        <v>3419.4</v>
      </c>
      <c r="Y343" s="478">
        <v>2922.45</v>
      </c>
      <c r="Z343" s="268">
        <v>2876</v>
      </c>
      <c r="AA343" s="255">
        <v>2840.1559999999999</v>
      </c>
      <c r="AB343" s="255">
        <v>2991.8809499999998</v>
      </c>
      <c r="AC343" s="478">
        <v>2749</v>
      </c>
      <c r="AD343" s="268">
        <v>2804</v>
      </c>
      <c r="AE343" s="255">
        <v>2712</v>
      </c>
      <c r="AF343" s="255">
        <v>2945</v>
      </c>
      <c r="AG343" s="478">
        <v>2674</v>
      </c>
      <c r="AH343" s="268">
        <v>2302</v>
      </c>
      <c r="AI343" s="255">
        <v>2513</v>
      </c>
      <c r="AJ343" s="255">
        <v>2715</v>
      </c>
      <c r="AK343" s="478">
        <v>2555</v>
      </c>
      <c r="AL343" s="268">
        <v>2760</v>
      </c>
      <c r="AM343" s="255">
        <v>2923</v>
      </c>
      <c r="AN343" s="255">
        <v>3033</v>
      </c>
      <c r="AO343" s="478">
        <v>2724</v>
      </c>
      <c r="AP343" s="268">
        <v>2354</v>
      </c>
      <c r="AQ343" s="255">
        <v>2352</v>
      </c>
      <c r="AR343" s="255"/>
      <c r="AS343" s="478"/>
    </row>
    <row r="344" spans="2:45" s="208" customFormat="1" x14ac:dyDescent="0.25">
      <c r="B344" s="331" t="s">
        <v>170</v>
      </c>
      <c r="C344" s="333"/>
      <c r="D344" s="333"/>
      <c r="E344" s="333"/>
      <c r="F344" s="267">
        <f t="shared" ref="F344:P344" si="626">SUM(F340:F343)</f>
        <v>196306.89771301093</v>
      </c>
      <c r="G344" s="254">
        <f t="shared" si="626"/>
        <v>210009.712836989</v>
      </c>
      <c r="H344" s="254">
        <f t="shared" si="626"/>
        <v>207245.12956999999</v>
      </c>
      <c r="I344" s="254">
        <f t="shared" si="626"/>
        <v>195965.33891649128</v>
      </c>
      <c r="J344" s="267">
        <f t="shared" si="626"/>
        <v>195578.39967588737</v>
      </c>
      <c r="K344" s="254">
        <f t="shared" si="626"/>
        <v>183139.18720301046</v>
      </c>
      <c r="L344" s="254">
        <f t="shared" si="626"/>
        <v>204474.09108766774</v>
      </c>
      <c r="M344" s="254">
        <f t="shared" si="626"/>
        <v>195154.15646855539</v>
      </c>
      <c r="N344" s="267">
        <f t="shared" si="626"/>
        <v>171512.72700000001</v>
      </c>
      <c r="O344" s="254">
        <f t="shared" si="626"/>
        <v>171167.08299999998</v>
      </c>
      <c r="P344" s="254">
        <f t="shared" si="626"/>
        <v>180269.182</v>
      </c>
      <c r="Q344" s="254">
        <f t="shared" ref="Q344:R344" si="627">SUM(Q340:Q343)</f>
        <v>174691.38700000002</v>
      </c>
      <c r="R344" s="267">
        <f t="shared" si="627"/>
        <v>154567.5</v>
      </c>
      <c r="S344" s="254">
        <f t="shared" ref="S344:T344" si="628">SUM(S340:S343)</f>
        <v>69614</v>
      </c>
      <c r="T344" s="254">
        <f t="shared" si="628"/>
        <v>154904.41899999999</v>
      </c>
      <c r="U344" s="254">
        <f t="shared" ref="U344:W344" si="629">SUM(U340:U343)</f>
        <v>182488</v>
      </c>
      <c r="V344" s="267">
        <f t="shared" si="629"/>
        <v>156955.59999999998</v>
      </c>
      <c r="W344" s="254">
        <f t="shared" si="629"/>
        <v>171598</v>
      </c>
      <c r="X344" s="254">
        <f t="shared" ref="X344:AA344" si="630">SUM(X340:X343)</f>
        <v>183606.39999999999</v>
      </c>
      <c r="Y344" s="382">
        <f t="shared" si="630"/>
        <v>160214.30000000002</v>
      </c>
      <c r="Z344" s="267">
        <f t="shared" si="630"/>
        <v>149041</v>
      </c>
      <c r="AA344" s="254">
        <f t="shared" si="630"/>
        <v>155830.70800000004</v>
      </c>
      <c r="AB344" s="254">
        <f t="shared" ref="AB344:AE344" si="631">SUM(AB340:AB343)</f>
        <v>179438.473815</v>
      </c>
      <c r="AC344" s="382">
        <f t="shared" si="631"/>
        <v>144587</v>
      </c>
      <c r="AD344" s="267">
        <f t="shared" si="631"/>
        <v>147484</v>
      </c>
      <c r="AE344" s="254">
        <f t="shared" si="631"/>
        <v>166987</v>
      </c>
      <c r="AF344" s="254">
        <f t="shared" ref="AF344:AI344" si="632">SUM(AF340:AF343)</f>
        <v>182022</v>
      </c>
      <c r="AG344" s="382">
        <f t="shared" si="632"/>
        <v>161924</v>
      </c>
      <c r="AH344" s="267">
        <f t="shared" si="632"/>
        <v>137100</v>
      </c>
      <c r="AI344" s="254">
        <f t="shared" si="632"/>
        <v>158166</v>
      </c>
      <c r="AJ344" s="254">
        <f t="shared" ref="AJ344:AO344" si="633">SUM(AJ340:AJ343)</f>
        <v>167085</v>
      </c>
      <c r="AK344" s="382">
        <f t="shared" si="633"/>
        <v>148053</v>
      </c>
      <c r="AL344" s="267">
        <f t="shared" si="633"/>
        <v>199591</v>
      </c>
      <c r="AM344" s="254">
        <f t="shared" si="633"/>
        <v>226156</v>
      </c>
      <c r="AN344" s="254">
        <f t="shared" si="633"/>
        <v>266857</v>
      </c>
      <c r="AO344" s="382">
        <f t="shared" si="633"/>
        <v>229969</v>
      </c>
      <c r="AP344" s="267">
        <f t="shared" ref="AP344:AS344" si="634">SUM(AP340:AP343)</f>
        <v>195537</v>
      </c>
      <c r="AQ344" s="254">
        <f t="shared" si="634"/>
        <v>217153</v>
      </c>
      <c r="AR344" s="254">
        <f t="shared" si="634"/>
        <v>0</v>
      </c>
      <c r="AS344" s="382">
        <f t="shared" si="634"/>
        <v>0</v>
      </c>
    </row>
    <row r="345" spans="2:45" s="208" customFormat="1" x14ac:dyDescent="0.25">
      <c r="B345" s="227" t="s">
        <v>150</v>
      </c>
      <c r="F345" s="380">
        <v>25852.298816735627</v>
      </c>
      <c r="G345" s="253">
        <v>27235.094933264372</v>
      </c>
      <c r="H345" s="253">
        <v>27391.272250000002</v>
      </c>
      <c r="I345" s="253">
        <v>25521.359219529924</v>
      </c>
      <c r="J345" s="226">
        <v>26258.052470451861</v>
      </c>
      <c r="K345" s="253">
        <v>24293.011850298979</v>
      </c>
      <c r="L345" s="253">
        <v>27581.702664397475</v>
      </c>
      <c r="M345" s="253">
        <v>25702.225933403832</v>
      </c>
      <c r="N345" s="226">
        <v>23532.380000000005</v>
      </c>
      <c r="O345" s="253">
        <v>22913.241999999998</v>
      </c>
      <c r="P345" s="253">
        <v>24452.651999999998</v>
      </c>
      <c r="Q345" s="253">
        <v>24064.322</v>
      </c>
      <c r="R345" s="226">
        <v>20894</v>
      </c>
      <c r="S345" s="253">
        <v>8915</v>
      </c>
      <c r="T345" s="253">
        <v>20900.854000000007</v>
      </c>
      <c r="U345" s="253">
        <v>23997</v>
      </c>
      <c r="V345" s="226">
        <v>21348</v>
      </c>
      <c r="W345" s="253">
        <v>23497</v>
      </c>
      <c r="X345" s="253">
        <v>24697.200000000001</v>
      </c>
      <c r="Y345" s="352">
        <v>22278</v>
      </c>
      <c r="Z345" s="226">
        <v>20917</v>
      </c>
      <c r="AA345" s="253">
        <v>21833.172999999995</v>
      </c>
      <c r="AB345" s="253">
        <v>26275.7</v>
      </c>
      <c r="AC345" s="352">
        <v>20399</v>
      </c>
      <c r="AD345" s="226">
        <v>20182</v>
      </c>
      <c r="AE345" s="253">
        <v>23839</v>
      </c>
      <c r="AF345" s="253">
        <v>26000</v>
      </c>
      <c r="AG345" s="352">
        <v>23124</v>
      </c>
      <c r="AH345" s="226">
        <v>19706</v>
      </c>
      <c r="AI345" s="253">
        <v>23248</v>
      </c>
      <c r="AJ345" s="253">
        <v>24072</v>
      </c>
      <c r="AK345" s="352">
        <v>20749</v>
      </c>
      <c r="AL345" s="226">
        <v>30214</v>
      </c>
      <c r="AM345" s="253">
        <v>34457</v>
      </c>
      <c r="AN345" s="253">
        <v>40941</v>
      </c>
      <c r="AO345" s="352">
        <v>35359</v>
      </c>
      <c r="AP345" s="226">
        <v>29830</v>
      </c>
      <c r="AQ345" s="253">
        <v>33413</v>
      </c>
      <c r="AR345" s="253"/>
      <c r="AS345" s="352"/>
    </row>
    <row r="346" spans="2:45" s="208" customFormat="1" x14ac:dyDescent="0.25">
      <c r="B346" s="227" t="s">
        <v>151</v>
      </c>
      <c r="F346" s="380">
        <v>5774.7571895140973</v>
      </c>
      <c r="G346" s="255">
        <v>6167.5503104859044</v>
      </c>
      <c r="H346" s="255">
        <v>6136.191499999999</v>
      </c>
      <c r="I346" s="255">
        <v>5622.8091494872497</v>
      </c>
      <c r="J346" s="268">
        <v>4392.4219369031962</v>
      </c>
      <c r="K346" s="255">
        <v>6790.8245945482868</v>
      </c>
      <c r="L346" s="255">
        <v>6218.5383106085692</v>
      </c>
      <c r="M346" s="255">
        <v>5705.5992417577536</v>
      </c>
      <c r="N346" s="268">
        <v>5281.3679999999995</v>
      </c>
      <c r="O346" s="255">
        <v>5109.3760000000002</v>
      </c>
      <c r="P346" s="255">
        <v>5546.4309999999996</v>
      </c>
      <c r="Q346" s="255">
        <v>5471.8070000000007</v>
      </c>
      <c r="R346" s="268">
        <v>4664</v>
      </c>
      <c r="S346" s="255">
        <v>2050</v>
      </c>
      <c r="T346" s="255">
        <v>4675.6669999999995</v>
      </c>
      <c r="U346" s="255">
        <v>5428</v>
      </c>
      <c r="V346" s="268">
        <v>4812</v>
      </c>
      <c r="W346" s="255">
        <v>5325</v>
      </c>
      <c r="X346" s="255">
        <v>5577.2</v>
      </c>
      <c r="Y346" s="478">
        <v>4985</v>
      </c>
      <c r="Z346" s="268">
        <v>4680</v>
      </c>
      <c r="AA346" s="255">
        <v>4933.902</v>
      </c>
      <c r="AB346" s="255">
        <v>5900.4</v>
      </c>
      <c r="AC346" s="478">
        <v>4570</v>
      </c>
      <c r="AD346" s="268">
        <v>4556</v>
      </c>
      <c r="AE346" s="255">
        <v>5467</v>
      </c>
      <c r="AF346" s="255">
        <v>5906</v>
      </c>
      <c r="AG346" s="478">
        <v>5273</v>
      </c>
      <c r="AH346" s="268">
        <v>4484</v>
      </c>
      <c r="AI346" s="255">
        <v>5281</v>
      </c>
      <c r="AJ346" s="255">
        <v>5456</v>
      </c>
      <c r="AK346" s="478">
        <v>4791</v>
      </c>
      <c r="AL346" s="268">
        <v>7130</v>
      </c>
      <c r="AM346" s="255">
        <v>7714</v>
      </c>
      <c r="AN346" s="255">
        <v>9416</v>
      </c>
      <c r="AO346" s="478">
        <v>8127</v>
      </c>
      <c r="AP346" s="268">
        <v>6971</v>
      </c>
      <c r="AQ346" s="255">
        <v>7669</v>
      </c>
      <c r="AR346" s="255"/>
      <c r="AS346" s="478"/>
    </row>
    <row r="347" spans="2:45" s="208" customFormat="1" x14ac:dyDescent="0.25">
      <c r="B347" s="332" t="s">
        <v>171</v>
      </c>
      <c r="C347" s="336"/>
      <c r="D347" s="336"/>
      <c r="E347" s="336"/>
      <c r="F347" s="269">
        <f t="shared" ref="F347:P347" si="635">SUM(F344:F346)</f>
        <v>227933.95371926064</v>
      </c>
      <c r="G347" s="256">
        <f t="shared" si="635"/>
        <v>243412.35808073927</v>
      </c>
      <c r="H347" s="256">
        <f t="shared" si="635"/>
        <v>240772.59331999999</v>
      </c>
      <c r="I347" s="256">
        <f t="shared" si="635"/>
        <v>227109.50728550844</v>
      </c>
      <c r="J347" s="269">
        <f t="shared" si="635"/>
        <v>226228.87408324244</v>
      </c>
      <c r="K347" s="256">
        <f t="shared" si="635"/>
        <v>214223.02364785774</v>
      </c>
      <c r="L347" s="256">
        <f t="shared" si="635"/>
        <v>238274.33206267378</v>
      </c>
      <c r="M347" s="256">
        <f t="shared" si="635"/>
        <v>226561.98164371698</v>
      </c>
      <c r="N347" s="269">
        <f t="shared" si="635"/>
        <v>200326.47500000001</v>
      </c>
      <c r="O347" s="256">
        <f t="shared" si="635"/>
        <v>199189.70099999997</v>
      </c>
      <c r="P347" s="256">
        <f t="shared" si="635"/>
        <v>210268.26500000001</v>
      </c>
      <c r="Q347" s="256">
        <f t="shared" ref="Q347:R347" si="636">SUM(Q344:Q346)</f>
        <v>204227.51600000003</v>
      </c>
      <c r="R347" s="269">
        <f t="shared" si="636"/>
        <v>180125.5</v>
      </c>
      <c r="S347" s="256">
        <f t="shared" ref="S347:T347" si="637">SUM(S344:S346)</f>
        <v>80579</v>
      </c>
      <c r="T347" s="256">
        <f t="shared" si="637"/>
        <v>180480.93999999997</v>
      </c>
      <c r="U347" s="256">
        <f t="shared" ref="U347:W347" si="638">SUM(U344:U346)</f>
        <v>211913</v>
      </c>
      <c r="V347" s="269">
        <f t="shared" si="638"/>
        <v>183115.59999999998</v>
      </c>
      <c r="W347" s="256">
        <f t="shared" si="638"/>
        <v>200420</v>
      </c>
      <c r="X347" s="256">
        <f t="shared" ref="X347:AA347" si="639">SUM(X344:X346)</f>
        <v>213880.80000000002</v>
      </c>
      <c r="Y347" s="479">
        <f t="shared" si="639"/>
        <v>187477.30000000002</v>
      </c>
      <c r="Z347" s="269">
        <f t="shared" si="639"/>
        <v>174638</v>
      </c>
      <c r="AA347" s="256">
        <f t="shared" si="639"/>
        <v>182597.78300000005</v>
      </c>
      <c r="AB347" s="256">
        <f t="shared" ref="AB347:AE347" si="640">SUM(AB344:AB346)</f>
        <v>211614.57381500001</v>
      </c>
      <c r="AC347" s="479">
        <f t="shared" si="640"/>
        <v>169556</v>
      </c>
      <c r="AD347" s="269">
        <f t="shared" si="640"/>
        <v>172222</v>
      </c>
      <c r="AE347" s="256">
        <f t="shared" si="640"/>
        <v>196293</v>
      </c>
      <c r="AF347" s="256">
        <f t="shared" ref="AF347:AI347" si="641">SUM(AF344:AF346)</f>
        <v>213928</v>
      </c>
      <c r="AG347" s="479">
        <f t="shared" si="641"/>
        <v>190321</v>
      </c>
      <c r="AH347" s="269">
        <f t="shared" si="641"/>
        <v>161290</v>
      </c>
      <c r="AI347" s="256">
        <f t="shared" si="641"/>
        <v>186695</v>
      </c>
      <c r="AJ347" s="256">
        <f t="shared" ref="AJ347:AO347" si="642">SUM(AJ344:AJ346)</f>
        <v>196613</v>
      </c>
      <c r="AK347" s="479">
        <f t="shared" si="642"/>
        <v>173593</v>
      </c>
      <c r="AL347" s="269">
        <f t="shared" si="642"/>
        <v>236935</v>
      </c>
      <c r="AM347" s="256">
        <f t="shared" si="642"/>
        <v>268327</v>
      </c>
      <c r="AN347" s="256">
        <f t="shared" si="642"/>
        <v>317214</v>
      </c>
      <c r="AO347" s="479">
        <f t="shared" si="642"/>
        <v>273455</v>
      </c>
      <c r="AP347" s="269">
        <f t="shared" ref="AP347:AS347" si="643">SUM(AP344:AP346)</f>
        <v>232338</v>
      </c>
      <c r="AQ347" s="256">
        <f t="shared" si="643"/>
        <v>258235</v>
      </c>
      <c r="AR347" s="256">
        <f t="shared" si="643"/>
        <v>0</v>
      </c>
      <c r="AS347" s="479">
        <f t="shared" si="643"/>
        <v>0</v>
      </c>
    </row>
    <row r="348" spans="2:45" s="208" customFormat="1" x14ac:dyDescent="0.25">
      <c r="F348" s="225"/>
      <c r="J348" s="225"/>
      <c r="N348" s="225"/>
      <c r="R348" s="225"/>
      <c r="V348" s="225"/>
      <c r="Y348" s="227"/>
      <c r="Z348" s="225"/>
      <c r="AC348" s="227"/>
      <c r="AD348" s="225"/>
      <c r="AG348" s="227"/>
      <c r="AH348" s="225"/>
      <c r="AK348" s="227"/>
      <c r="AL348" s="225"/>
      <c r="AO348" s="227"/>
      <c r="AP348" s="225"/>
      <c r="AS348" s="227"/>
    </row>
    <row r="349" spans="2:45" s="208" customFormat="1" x14ac:dyDescent="0.25">
      <c r="B349" s="330" t="s">
        <v>181</v>
      </c>
      <c r="C349" s="333"/>
      <c r="D349" s="333"/>
      <c r="E349" s="257"/>
      <c r="F349" s="334"/>
      <c r="G349" s="257"/>
      <c r="H349" s="257"/>
      <c r="I349" s="257"/>
      <c r="J349" s="270"/>
      <c r="K349" s="257"/>
      <c r="L349" s="257"/>
      <c r="M349" s="257"/>
      <c r="N349" s="270"/>
      <c r="O349" s="257"/>
      <c r="P349" s="257"/>
      <c r="Q349" s="257"/>
      <c r="R349" s="270"/>
      <c r="S349" s="257"/>
      <c r="T349" s="257"/>
      <c r="U349" s="257"/>
      <c r="V349" s="270"/>
      <c r="W349" s="257"/>
      <c r="X349" s="257"/>
      <c r="Y349" s="477"/>
      <c r="Z349" s="270"/>
      <c r="AA349" s="257"/>
      <c r="AB349" s="257"/>
      <c r="AC349" s="477"/>
      <c r="AD349" s="270"/>
      <c r="AE349" s="257"/>
      <c r="AF349" s="257"/>
      <c r="AG349" s="477"/>
      <c r="AH349" s="270"/>
      <c r="AI349" s="257"/>
      <c r="AJ349" s="257"/>
      <c r="AK349" s="477"/>
      <c r="AL349" s="270"/>
      <c r="AM349" s="257"/>
      <c r="AN349" s="257"/>
      <c r="AO349" s="477"/>
      <c r="AP349" s="270"/>
      <c r="AQ349" s="257"/>
      <c r="AR349" s="257"/>
      <c r="AS349" s="477"/>
    </row>
    <row r="350" spans="2:45" s="208" customFormat="1" x14ac:dyDescent="0.25">
      <c r="B350" s="227" t="s">
        <v>145</v>
      </c>
      <c r="F350" s="226"/>
      <c r="G350" s="253"/>
      <c r="H350" s="253"/>
      <c r="I350" s="253"/>
      <c r="J350" s="226"/>
      <c r="K350" s="253"/>
      <c r="L350" s="253"/>
      <c r="M350" s="253"/>
      <c r="N350" s="226"/>
      <c r="O350" s="253">
        <v>49026</v>
      </c>
      <c r="P350" s="253">
        <v>147390</v>
      </c>
      <c r="Q350" s="253">
        <v>113803</v>
      </c>
      <c r="R350" s="226">
        <f>119600-13858</f>
        <v>105742</v>
      </c>
      <c r="S350" s="253">
        <f>79586-15359+1.4</f>
        <v>64228.4</v>
      </c>
      <c r="T350" s="253">
        <v>109651.32268612586</v>
      </c>
      <c r="U350" s="253">
        <f>125418</f>
        <v>125418</v>
      </c>
      <c r="V350" s="226">
        <v>118270</v>
      </c>
      <c r="W350" s="253">
        <v>126751</v>
      </c>
      <c r="X350" s="253">
        <v>137257.4</v>
      </c>
      <c r="Y350" s="352">
        <v>117871</v>
      </c>
      <c r="Z350" s="226">
        <v>109603</v>
      </c>
      <c r="AA350" s="253">
        <v>110777.4</v>
      </c>
      <c r="AB350" s="253">
        <v>110879</v>
      </c>
      <c r="AC350" s="352">
        <v>120153</v>
      </c>
      <c r="AD350" s="226">
        <v>108007</v>
      </c>
      <c r="AE350" s="253">
        <v>119199</v>
      </c>
      <c r="AF350" s="253">
        <v>125005</v>
      </c>
      <c r="AG350" s="352">
        <v>115707</v>
      </c>
      <c r="AH350" s="226">
        <v>107562</v>
      </c>
      <c r="AI350" s="253">
        <v>117239</v>
      </c>
      <c r="AJ350" s="253">
        <v>129689</v>
      </c>
      <c r="AK350" s="352">
        <v>125190</v>
      </c>
      <c r="AL350" s="226">
        <v>98048</v>
      </c>
      <c r="AM350" s="253">
        <v>112725</v>
      </c>
      <c r="AN350" s="253">
        <v>127457</v>
      </c>
      <c r="AO350" s="352">
        <v>112043</v>
      </c>
      <c r="AP350" s="226">
        <v>107050</v>
      </c>
      <c r="AQ350" s="253">
        <v>110382</v>
      </c>
      <c r="AR350" s="253"/>
      <c r="AS350" s="352"/>
    </row>
    <row r="351" spans="2:45" s="208" customFormat="1" x14ac:dyDescent="0.25">
      <c r="B351" s="227" t="s">
        <v>146</v>
      </c>
      <c r="F351" s="226"/>
      <c r="G351" s="253"/>
      <c r="H351" s="253"/>
      <c r="I351" s="253"/>
      <c r="J351" s="226"/>
      <c r="K351" s="253"/>
      <c r="L351" s="253"/>
      <c r="M351" s="253"/>
      <c r="N351" s="226"/>
      <c r="O351" s="253">
        <v>23235</v>
      </c>
      <c r="P351" s="253">
        <v>68291</v>
      </c>
      <c r="Q351" s="253">
        <v>52268</v>
      </c>
      <c r="R351" s="226">
        <f>55296-7081</f>
        <v>48215</v>
      </c>
      <c r="S351" s="253">
        <f>35512-7516+0.45</f>
        <v>27996.45</v>
      </c>
      <c r="T351" s="253">
        <v>49680.714684044055</v>
      </c>
      <c r="U351" s="253">
        <f>57436</f>
        <v>57436</v>
      </c>
      <c r="V351" s="226">
        <v>54840</v>
      </c>
      <c r="W351" s="253">
        <v>58449</v>
      </c>
      <c r="X351" s="253">
        <v>64068</v>
      </c>
      <c r="Y351" s="352">
        <v>55004</v>
      </c>
      <c r="Z351" s="226">
        <v>51248</v>
      </c>
      <c r="AA351" s="253">
        <v>50660.35</v>
      </c>
      <c r="AB351" s="253">
        <v>50198.97441112838</v>
      </c>
      <c r="AC351" s="352">
        <v>54166</v>
      </c>
      <c r="AD351" s="226">
        <v>48752</v>
      </c>
      <c r="AE351" s="253">
        <v>53008</v>
      </c>
      <c r="AF351" s="253">
        <v>56319</v>
      </c>
      <c r="AG351" s="352">
        <v>50360</v>
      </c>
      <c r="AH351" s="226">
        <v>48795</v>
      </c>
      <c r="AI351" s="253">
        <v>51029</v>
      </c>
      <c r="AJ351" s="253">
        <v>58710</v>
      </c>
      <c r="AK351" s="352">
        <v>55398</v>
      </c>
      <c r="AL351" s="226">
        <v>43546</v>
      </c>
      <c r="AM351" s="253">
        <v>49992</v>
      </c>
      <c r="AN351" s="253">
        <v>56572</v>
      </c>
      <c r="AO351" s="352">
        <v>49213</v>
      </c>
      <c r="AP351" s="226">
        <v>46870</v>
      </c>
      <c r="AQ351" s="253">
        <v>49273</v>
      </c>
      <c r="AR351" s="253"/>
      <c r="AS351" s="352"/>
    </row>
    <row r="352" spans="2:45" s="208" customFormat="1" x14ac:dyDescent="0.25">
      <c r="B352" s="227" t="s">
        <v>147</v>
      </c>
      <c r="F352" s="226"/>
      <c r="G352" s="253"/>
      <c r="H352" s="253"/>
      <c r="I352" s="253"/>
      <c r="J352" s="226"/>
      <c r="K352" s="253"/>
      <c r="L352" s="253"/>
      <c r="M352" s="253"/>
      <c r="N352" s="226"/>
      <c r="O352" s="253">
        <v>7573</v>
      </c>
      <c r="P352" s="253">
        <v>21788</v>
      </c>
      <c r="Q352" s="253">
        <v>16872</v>
      </c>
      <c r="R352" s="226">
        <f>17792-2185</f>
        <v>15607</v>
      </c>
      <c r="S352" s="253">
        <f>9983-1677</f>
        <v>8306</v>
      </c>
      <c r="T352" s="253">
        <v>15172.150287747703</v>
      </c>
      <c r="U352" s="253">
        <f>17729</f>
        <v>17729</v>
      </c>
      <c r="V352" s="226">
        <v>17976</v>
      </c>
      <c r="W352" s="253">
        <v>19265</v>
      </c>
      <c r="X352" s="253">
        <v>20329</v>
      </c>
      <c r="Y352" s="352">
        <v>17960.099999999999</v>
      </c>
      <c r="Z352" s="226">
        <v>16437</v>
      </c>
      <c r="AA352" s="253">
        <v>17044.2</v>
      </c>
      <c r="AB352" s="253">
        <v>16949.502873531274</v>
      </c>
      <c r="AC352" s="352">
        <v>18632</v>
      </c>
      <c r="AD352" s="226">
        <v>16814</v>
      </c>
      <c r="AE352" s="253">
        <v>18225</v>
      </c>
      <c r="AF352" s="253">
        <v>19393</v>
      </c>
      <c r="AG352" s="352">
        <v>17154</v>
      </c>
      <c r="AH352" s="226">
        <v>16508</v>
      </c>
      <c r="AI352" s="253">
        <v>17615</v>
      </c>
      <c r="AJ352" s="253">
        <v>20248</v>
      </c>
      <c r="AK352" s="352">
        <v>18868</v>
      </c>
      <c r="AL352" s="226">
        <v>14567</v>
      </c>
      <c r="AM352" s="253">
        <v>17085</v>
      </c>
      <c r="AN352" s="253">
        <v>19206</v>
      </c>
      <c r="AO352" s="352">
        <v>16298</v>
      </c>
      <c r="AP352" s="226">
        <v>15976</v>
      </c>
      <c r="AQ352" s="253">
        <v>16692</v>
      </c>
      <c r="AR352" s="253"/>
      <c r="AS352" s="352"/>
    </row>
    <row r="353" spans="2:45" s="208" customFormat="1" x14ac:dyDescent="0.25">
      <c r="B353" s="227" t="s">
        <v>148</v>
      </c>
      <c r="F353" s="226"/>
      <c r="G353" s="255"/>
      <c r="H353" s="255"/>
      <c r="I353" s="255"/>
      <c r="J353" s="268"/>
      <c r="K353" s="255"/>
      <c r="L353" s="255"/>
      <c r="M353" s="255"/>
      <c r="N353" s="268"/>
      <c r="O353" s="253">
        <v>1123</v>
      </c>
      <c r="P353" s="253">
        <v>3541</v>
      </c>
      <c r="Q353" s="253">
        <v>2688</v>
      </c>
      <c r="R353" s="226">
        <f>2798-364.4</f>
        <v>2433.6</v>
      </c>
      <c r="S353" s="253">
        <f>3126-1018+1</f>
        <v>2109</v>
      </c>
      <c r="T353" s="253">
        <v>3212.8137160233673</v>
      </c>
      <c r="U353" s="253">
        <f>3538</f>
        <v>3538</v>
      </c>
      <c r="V353" s="226">
        <v>2909</v>
      </c>
      <c r="W353" s="253">
        <v>5926</v>
      </c>
      <c r="X353" s="253">
        <v>4937</v>
      </c>
      <c r="Y353" s="352">
        <v>4205.45</v>
      </c>
      <c r="Z353" s="226">
        <v>2506</v>
      </c>
      <c r="AA353" s="253">
        <v>2333.4158165210383</v>
      </c>
      <c r="AB353" s="253">
        <v>2288.3550243184377</v>
      </c>
      <c r="AC353" s="352">
        <v>2385</v>
      </c>
      <c r="AD353" s="226">
        <v>1957</v>
      </c>
      <c r="AE353" s="253">
        <v>2113</v>
      </c>
      <c r="AF353" s="253">
        <v>2292</v>
      </c>
      <c r="AG353" s="352">
        <v>2247</v>
      </c>
      <c r="AH353" s="226">
        <v>2027</v>
      </c>
      <c r="AI353" s="253">
        <v>2060</v>
      </c>
      <c r="AJ353" s="253">
        <v>2325</v>
      </c>
      <c r="AK353" s="352">
        <v>2446</v>
      </c>
      <c r="AL353" s="226">
        <v>1938</v>
      </c>
      <c r="AM353" s="253">
        <v>2282</v>
      </c>
      <c r="AN353" s="253">
        <v>2597</v>
      </c>
      <c r="AO353" s="352">
        <v>2464</v>
      </c>
      <c r="AP353" s="226">
        <v>2209</v>
      </c>
      <c r="AQ353" s="253">
        <v>2242</v>
      </c>
      <c r="AR353" s="253"/>
      <c r="AS353" s="352"/>
    </row>
    <row r="354" spans="2:45" s="208" customFormat="1" x14ac:dyDescent="0.25">
      <c r="B354" s="331" t="s">
        <v>170</v>
      </c>
      <c r="C354" s="333"/>
      <c r="D354" s="333"/>
      <c r="E354" s="333"/>
      <c r="F354" s="267">
        <f>SUM(F350:F353)</f>
        <v>0</v>
      </c>
      <c r="G354" s="254">
        <f t="shared" ref="G354:Q354" si="644">SUM(G350:G353)</f>
        <v>0</v>
      </c>
      <c r="H354" s="254">
        <f t="shared" si="644"/>
        <v>0</v>
      </c>
      <c r="I354" s="254">
        <f t="shared" si="644"/>
        <v>0</v>
      </c>
      <c r="J354" s="267">
        <f t="shared" si="644"/>
        <v>0</v>
      </c>
      <c r="K354" s="254">
        <f t="shared" si="644"/>
        <v>0</v>
      </c>
      <c r="L354" s="254">
        <f t="shared" si="644"/>
        <v>0</v>
      </c>
      <c r="M354" s="254">
        <f t="shared" si="644"/>
        <v>0</v>
      </c>
      <c r="N354" s="267">
        <f t="shared" si="644"/>
        <v>0</v>
      </c>
      <c r="O354" s="254">
        <f t="shared" si="644"/>
        <v>80957</v>
      </c>
      <c r="P354" s="254">
        <f t="shared" si="644"/>
        <v>241010</v>
      </c>
      <c r="Q354" s="254">
        <f t="shared" si="644"/>
        <v>185631</v>
      </c>
      <c r="R354" s="267">
        <f t="shared" ref="R354:S354" si="645">SUM(R350:R353)</f>
        <v>171997.6</v>
      </c>
      <c r="S354" s="254">
        <f t="shared" si="645"/>
        <v>102639.85</v>
      </c>
      <c r="T354" s="254">
        <f t="shared" ref="T354:U354" si="646">SUM(T350:T353)</f>
        <v>177717.00137394099</v>
      </c>
      <c r="U354" s="254">
        <f t="shared" si="646"/>
        <v>204121</v>
      </c>
      <c r="V354" s="267">
        <f t="shared" ref="V354:W354" si="647">SUM(V350:V353)</f>
        <v>193995</v>
      </c>
      <c r="W354" s="254">
        <f t="shared" si="647"/>
        <v>210391</v>
      </c>
      <c r="X354" s="254">
        <f t="shared" ref="X354:AA354" si="648">SUM(X350:X353)</f>
        <v>226591.4</v>
      </c>
      <c r="Y354" s="382">
        <f t="shared" si="648"/>
        <v>195040.55000000002</v>
      </c>
      <c r="Z354" s="267">
        <f t="shared" si="648"/>
        <v>179794</v>
      </c>
      <c r="AA354" s="254">
        <f t="shared" si="648"/>
        <v>180815.36581652105</v>
      </c>
      <c r="AB354" s="254">
        <f t="shared" ref="AB354:AE354" si="649">SUM(AB350:AB353)</f>
        <v>180315.8323089781</v>
      </c>
      <c r="AC354" s="382">
        <f t="shared" si="649"/>
        <v>195336</v>
      </c>
      <c r="AD354" s="267">
        <f t="shared" si="649"/>
        <v>175530</v>
      </c>
      <c r="AE354" s="254">
        <f t="shared" si="649"/>
        <v>192545</v>
      </c>
      <c r="AF354" s="254">
        <f t="shared" ref="AF354:AI354" si="650">SUM(AF350:AF353)</f>
        <v>203009</v>
      </c>
      <c r="AG354" s="382">
        <f t="shared" si="650"/>
        <v>185468</v>
      </c>
      <c r="AH354" s="267">
        <f t="shared" si="650"/>
        <v>174892</v>
      </c>
      <c r="AI354" s="254">
        <f t="shared" si="650"/>
        <v>187943</v>
      </c>
      <c r="AJ354" s="254">
        <f t="shared" ref="AJ354:AO354" si="651">SUM(AJ350:AJ353)</f>
        <v>210972</v>
      </c>
      <c r="AK354" s="382">
        <f t="shared" si="651"/>
        <v>201902</v>
      </c>
      <c r="AL354" s="267">
        <f t="shared" si="651"/>
        <v>158099</v>
      </c>
      <c r="AM354" s="254">
        <f t="shared" si="651"/>
        <v>182084</v>
      </c>
      <c r="AN354" s="254">
        <f t="shared" si="651"/>
        <v>205832</v>
      </c>
      <c r="AO354" s="382">
        <f t="shared" si="651"/>
        <v>180018</v>
      </c>
      <c r="AP354" s="267">
        <f t="shared" ref="AP354:AS354" si="652">SUM(AP350:AP353)</f>
        <v>172105</v>
      </c>
      <c r="AQ354" s="254">
        <f t="shared" si="652"/>
        <v>178589</v>
      </c>
      <c r="AR354" s="254">
        <f t="shared" si="652"/>
        <v>0</v>
      </c>
      <c r="AS354" s="382">
        <f t="shared" si="652"/>
        <v>0</v>
      </c>
    </row>
    <row r="355" spans="2:45" s="208" customFormat="1" x14ac:dyDescent="0.25">
      <c r="B355" s="227" t="s">
        <v>150</v>
      </c>
      <c r="F355" s="380"/>
      <c r="G355" s="253"/>
      <c r="H355" s="253"/>
      <c r="I355" s="253"/>
      <c r="J355" s="226"/>
      <c r="K355" s="253"/>
      <c r="L355" s="253"/>
      <c r="M355" s="253"/>
      <c r="N355" s="226"/>
      <c r="O355" s="253">
        <v>12646</v>
      </c>
      <c r="P355" s="253">
        <v>36357</v>
      </c>
      <c r="Q355" s="253">
        <v>28035</v>
      </c>
      <c r="R355" s="272">
        <f>30459-3790</f>
        <v>26669</v>
      </c>
      <c r="S355" s="273">
        <f>18026-3021</f>
        <v>15005</v>
      </c>
      <c r="T355" s="273">
        <v>25010.676530577279</v>
      </c>
      <c r="U355" s="273">
        <v>28651</v>
      </c>
      <c r="V355" s="272">
        <v>28267</v>
      </c>
      <c r="W355" s="273">
        <v>43897</v>
      </c>
      <c r="X355" s="273">
        <v>42374.1</v>
      </c>
      <c r="Y355" s="480">
        <v>38225</v>
      </c>
      <c r="Z355" s="272">
        <v>26713</v>
      </c>
      <c r="AA355" s="273">
        <v>27063.200000000001</v>
      </c>
      <c r="AB355" s="273">
        <v>27069</v>
      </c>
      <c r="AC355" s="480">
        <v>29235</v>
      </c>
      <c r="AD355" s="272">
        <v>26927</v>
      </c>
      <c r="AE355" s="273">
        <v>29765</v>
      </c>
      <c r="AF355" s="273">
        <v>30732</v>
      </c>
      <c r="AG355" s="480">
        <v>28048</v>
      </c>
      <c r="AH355" s="272">
        <v>26293</v>
      </c>
      <c r="AI355" s="273">
        <v>28708</v>
      </c>
      <c r="AJ355" s="273">
        <v>33158</v>
      </c>
      <c r="AK355" s="480">
        <v>30982</v>
      </c>
      <c r="AL355" s="272">
        <v>23891</v>
      </c>
      <c r="AM355" s="273">
        <v>27839</v>
      </c>
      <c r="AN355" s="273">
        <v>30933</v>
      </c>
      <c r="AO355" s="480">
        <v>26734</v>
      </c>
      <c r="AP355" s="272">
        <v>26516</v>
      </c>
      <c r="AQ355" s="273">
        <v>26752</v>
      </c>
      <c r="AR355" s="273"/>
      <c r="AS355" s="480"/>
    </row>
    <row r="356" spans="2:45" s="208" customFormat="1" x14ac:dyDescent="0.25">
      <c r="B356" s="227" t="s">
        <v>151</v>
      </c>
      <c r="F356" s="380"/>
      <c r="G356" s="255"/>
      <c r="H356" s="255"/>
      <c r="I356" s="255"/>
      <c r="J356" s="268"/>
      <c r="K356" s="255"/>
      <c r="L356" s="255"/>
      <c r="M356" s="255"/>
      <c r="N356" s="268"/>
      <c r="O356" s="255">
        <v>3585</v>
      </c>
      <c r="P356" s="255">
        <v>9949.4</v>
      </c>
      <c r="Q356" s="255">
        <v>7692</v>
      </c>
      <c r="R356" s="268">
        <f>8041-954</f>
        <v>7087</v>
      </c>
      <c r="S356" s="255">
        <f>4804-864</f>
        <v>3940</v>
      </c>
      <c r="T356" s="255">
        <v>6608.0011705647948</v>
      </c>
      <c r="U356" s="255">
        <v>7705</v>
      </c>
      <c r="V356" s="268">
        <v>7921</v>
      </c>
      <c r="W356" s="255">
        <v>9402</v>
      </c>
      <c r="X356" s="255">
        <v>9901</v>
      </c>
      <c r="Y356" s="478">
        <v>8840</v>
      </c>
      <c r="Z356" s="268">
        <v>7420</v>
      </c>
      <c r="AA356" s="255">
        <v>7684</v>
      </c>
      <c r="AB356" s="255">
        <v>7645.2845124592277</v>
      </c>
      <c r="AC356" s="478">
        <v>8362</v>
      </c>
      <c r="AD356" s="268">
        <v>7565</v>
      </c>
      <c r="AE356" s="255">
        <v>8284</v>
      </c>
      <c r="AF356" s="255">
        <v>8479</v>
      </c>
      <c r="AG356" s="478">
        <v>7946</v>
      </c>
      <c r="AH356" s="268">
        <v>7616</v>
      </c>
      <c r="AI356" s="255">
        <v>8127</v>
      </c>
      <c r="AJ356" s="255">
        <v>7722</v>
      </c>
      <c r="AK356" s="478">
        <v>7173</v>
      </c>
      <c r="AL356" s="268">
        <v>5681</v>
      </c>
      <c r="AM356" s="255">
        <v>6447</v>
      </c>
      <c r="AN356" s="255">
        <v>7025</v>
      </c>
      <c r="AO356" s="478">
        <v>6034</v>
      </c>
      <c r="AP356" s="268">
        <v>5973</v>
      </c>
      <c r="AQ356" s="255">
        <v>6121</v>
      </c>
      <c r="AR356" s="255"/>
      <c r="AS356" s="478"/>
    </row>
    <row r="357" spans="2:45" s="208" customFormat="1" x14ac:dyDescent="0.25">
      <c r="B357" s="332" t="s">
        <v>171</v>
      </c>
      <c r="C357" s="336"/>
      <c r="D357" s="336"/>
      <c r="E357" s="336"/>
      <c r="F357" s="269">
        <f>SUM(F354:F356)</f>
        <v>0</v>
      </c>
      <c r="G357" s="256">
        <f t="shared" ref="G357:P357" si="653">SUM(G354:G356)</f>
        <v>0</v>
      </c>
      <c r="H357" s="256">
        <f t="shared" si="653"/>
        <v>0</v>
      </c>
      <c r="I357" s="256">
        <f t="shared" si="653"/>
        <v>0</v>
      </c>
      <c r="J357" s="269">
        <f t="shared" si="653"/>
        <v>0</v>
      </c>
      <c r="K357" s="256">
        <f t="shared" si="653"/>
        <v>0</v>
      </c>
      <c r="L357" s="256">
        <f t="shared" si="653"/>
        <v>0</v>
      </c>
      <c r="M357" s="256">
        <f t="shared" si="653"/>
        <v>0</v>
      </c>
      <c r="N357" s="269">
        <f t="shared" si="653"/>
        <v>0</v>
      </c>
      <c r="O357" s="256">
        <f t="shared" si="653"/>
        <v>97188</v>
      </c>
      <c r="P357" s="256">
        <f t="shared" si="653"/>
        <v>287316.40000000002</v>
      </c>
      <c r="Q357" s="256">
        <f t="shared" ref="Q357:R357" si="654">SUM(Q354:Q356)</f>
        <v>221358</v>
      </c>
      <c r="R357" s="269">
        <f t="shared" si="654"/>
        <v>205753.60000000001</v>
      </c>
      <c r="S357" s="256">
        <f t="shared" ref="S357:T357" si="655">SUM(S354:S356)</f>
        <v>121584.85</v>
      </c>
      <c r="T357" s="256">
        <f t="shared" si="655"/>
        <v>209335.67907508306</v>
      </c>
      <c r="U357" s="256">
        <f t="shared" ref="U357:W357" si="656">SUM(U354:U356)</f>
        <v>240477</v>
      </c>
      <c r="V357" s="269">
        <f t="shared" si="656"/>
        <v>230183</v>
      </c>
      <c r="W357" s="256">
        <f t="shared" si="656"/>
        <v>263690</v>
      </c>
      <c r="X357" s="256">
        <f t="shared" ref="X357:AA357" si="657">SUM(X354:X356)</f>
        <v>278866.5</v>
      </c>
      <c r="Y357" s="479">
        <f t="shared" si="657"/>
        <v>242105.55000000002</v>
      </c>
      <c r="Z357" s="269">
        <f t="shared" si="657"/>
        <v>213927</v>
      </c>
      <c r="AA357" s="256">
        <f t="shared" si="657"/>
        <v>215562.56581652106</v>
      </c>
      <c r="AB357" s="256">
        <f t="shared" ref="AB357:AE357" si="658">SUM(AB354:AB356)</f>
        <v>215030.11682143732</v>
      </c>
      <c r="AC357" s="479">
        <f t="shared" si="658"/>
        <v>232933</v>
      </c>
      <c r="AD357" s="269">
        <f t="shared" si="658"/>
        <v>210022</v>
      </c>
      <c r="AE357" s="256">
        <f t="shared" si="658"/>
        <v>230594</v>
      </c>
      <c r="AF357" s="256">
        <f t="shared" ref="AF357:AI357" si="659">SUM(AF354:AF356)</f>
        <v>242220</v>
      </c>
      <c r="AG357" s="479">
        <f t="shared" si="659"/>
        <v>221462</v>
      </c>
      <c r="AH357" s="269">
        <f t="shared" si="659"/>
        <v>208801</v>
      </c>
      <c r="AI357" s="256">
        <f t="shared" si="659"/>
        <v>224778</v>
      </c>
      <c r="AJ357" s="256">
        <f t="shared" ref="AJ357:AO357" si="660">SUM(AJ354:AJ356)</f>
        <v>251852</v>
      </c>
      <c r="AK357" s="479">
        <f t="shared" si="660"/>
        <v>240057</v>
      </c>
      <c r="AL357" s="269">
        <f t="shared" si="660"/>
        <v>187671</v>
      </c>
      <c r="AM357" s="256">
        <f t="shared" si="660"/>
        <v>216370</v>
      </c>
      <c r="AN357" s="256">
        <f t="shared" si="660"/>
        <v>243790</v>
      </c>
      <c r="AO357" s="479">
        <f t="shared" si="660"/>
        <v>212786</v>
      </c>
      <c r="AP357" s="269">
        <f t="shared" ref="AP357:AS357" si="661">SUM(AP354:AP356)</f>
        <v>204594</v>
      </c>
      <c r="AQ357" s="256">
        <f t="shared" si="661"/>
        <v>211462</v>
      </c>
      <c r="AR357" s="256">
        <f t="shared" si="661"/>
        <v>0</v>
      </c>
      <c r="AS357" s="479">
        <f t="shared" si="661"/>
        <v>0</v>
      </c>
    </row>
    <row r="358" spans="2:45" s="208" customFormat="1" x14ac:dyDescent="0.25">
      <c r="F358" s="225"/>
      <c r="J358" s="225"/>
      <c r="N358" s="225"/>
      <c r="R358" s="225"/>
      <c r="V358" s="225"/>
      <c r="Y358" s="227"/>
      <c r="Z358" s="225"/>
      <c r="AC358" s="227"/>
      <c r="AD358" s="225"/>
      <c r="AG358" s="227"/>
      <c r="AH358" s="225"/>
      <c r="AK358" s="227"/>
      <c r="AL358" s="225"/>
      <c r="AO358" s="227"/>
      <c r="AP358" s="225"/>
      <c r="AS358" s="227"/>
    </row>
    <row r="359" spans="2:45" s="208" customFormat="1" x14ac:dyDescent="0.25">
      <c r="B359" s="330" t="s">
        <v>166</v>
      </c>
      <c r="C359" s="333"/>
      <c r="D359" s="333"/>
      <c r="E359" s="257"/>
      <c r="F359" s="334"/>
      <c r="G359" s="257"/>
      <c r="H359" s="257"/>
      <c r="I359" s="257"/>
      <c r="J359" s="270"/>
      <c r="K359" s="257"/>
      <c r="L359" s="257"/>
      <c r="M359" s="257"/>
      <c r="N359" s="270"/>
      <c r="O359" s="257"/>
      <c r="P359" s="257"/>
      <c r="Q359" s="257"/>
      <c r="R359" s="270"/>
      <c r="S359" s="257"/>
      <c r="T359" s="257"/>
      <c r="U359" s="257"/>
      <c r="V359" s="270"/>
      <c r="W359" s="257"/>
      <c r="X359" s="257"/>
      <c r="Y359" s="477"/>
      <c r="Z359" s="270"/>
      <c r="AA359" s="257"/>
      <c r="AB359" s="257"/>
      <c r="AC359" s="477"/>
      <c r="AD359" s="270"/>
      <c r="AE359" s="257"/>
      <c r="AF359" s="257"/>
      <c r="AG359" s="477"/>
      <c r="AH359" s="270"/>
      <c r="AI359" s="257"/>
      <c r="AJ359" s="257"/>
      <c r="AK359" s="477"/>
      <c r="AL359" s="270"/>
      <c r="AM359" s="257"/>
      <c r="AN359" s="257"/>
      <c r="AO359" s="477"/>
      <c r="AP359" s="270"/>
      <c r="AQ359" s="257"/>
      <c r="AR359" s="257"/>
      <c r="AS359" s="477"/>
    </row>
    <row r="360" spans="2:45" s="208" customFormat="1" x14ac:dyDescent="0.25">
      <c r="B360" s="227" t="s">
        <v>145</v>
      </c>
      <c r="F360" s="226">
        <f t="shared" ref="F360:N360" si="662">+F310+F320+F330+F340</f>
        <v>168080.93107072666</v>
      </c>
      <c r="G360" s="253">
        <f t="shared" si="662"/>
        <v>176969.84249837208</v>
      </c>
      <c r="H360" s="253">
        <f>+H310+H320+H330+H340</f>
        <v>177108.02903831124</v>
      </c>
      <c r="I360" s="253">
        <f t="shared" si="662"/>
        <v>172798.25121990786</v>
      </c>
      <c r="J360" s="226">
        <f t="shared" si="662"/>
        <v>166440.11278905786</v>
      </c>
      <c r="K360" s="253">
        <f t="shared" si="662"/>
        <v>164877.02977525085</v>
      </c>
      <c r="L360" s="253">
        <f t="shared" si="662"/>
        <v>177728.0192110521</v>
      </c>
      <c r="M360" s="253">
        <f t="shared" si="662"/>
        <v>175974.80311859731</v>
      </c>
      <c r="N360" s="226">
        <f t="shared" si="662"/>
        <v>153109.22369582558</v>
      </c>
      <c r="O360" s="253">
        <f t="shared" ref="O360:P363" si="663">+O310+O320+O330+O340+O350</f>
        <v>213849.05430062109</v>
      </c>
      <c r="P360" s="253">
        <f t="shared" si="663"/>
        <v>307777.38099999999</v>
      </c>
      <c r="Q360" s="253">
        <f t="shared" ref="Q360:V360" si="664">+Q310+Q320+Q330+Q340+Q350</f>
        <v>273444.27899999998</v>
      </c>
      <c r="R360" s="226">
        <f t="shared" si="664"/>
        <v>249414.8</v>
      </c>
      <c r="S360" s="253">
        <f t="shared" si="664"/>
        <v>143313.4</v>
      </c>
      <c r="T360" s="253">
        <f t="shared" si="664"/>
        <v>255268.45290841954</v>
      </c>
      <c r="U360" s="253">
        <f t="shared" si="664"/>
        <v>291473</v>
      </c>
      <c r="V360" s="226">
        <f t="shared" si="664"/>
        <v>264712.40000000002</v>
      </c>
      <c r="W360" s="253">
        <f t="shared" ref="W360:X360" si="665">+W310+W320+W330+W340+W350</f>
        <v>285220.75</v>
      </c>
      <c r="X360" s="253">
        <f t="shared" si="665"/>
        <v>304116.3</v>
      </c>
      <c r="Y360" s="352">
        <f t="shared" ref="Y360:AB360" si="666">+Y310+Y320+Y330+Y340+Y350</f>
        <v>268519</v>
      </c>
      <c r="Z360" s="226">
        <f t="shared" si="666"/>
        <v>250400.5</v>
      </c>
      <c r="AA360" s="253">
        <f t="shared" si="666"/>
        <v>253998.58786358515</v>
      </c>
      <c r="AB360" s="253">
        <f t="shared" si="666"/>
        <v>265974.5</v>
      </c>
      <c r="AC360" s="352">
        <f t="shared" ref="AC360:AF360" si="667">+AC310+AC320+AC330+AC340+AC350</f>
        <v>257964</v>
      </c>
      <c r="AD360" s="226">
        <f t="shared" si="667"/>
        <v>240903</v>
      </c>
      <c r="AE360" s="253">
        <f t="shared" ref="AE360" si="668">+AE310+AE320+AE330+AE340+AE350</f>
        <v>265168</v>
      </c>
      <c r="AF360" s="253">
        <f t="shared" si="667"/>
        <v>282763</v>
      </c>
      <c r="AG360" s="352">
        <f t="shared" ref="AG360:AJ360" si="669">+AG310+AG320+AG330+AG340+AG350</f>
        <v>265507</v>
      </c>
      <c r="AH360" s="226">
        <f t="shared" si="669"/>
        <v>245406</v>
      </c>
      <c r="AI360" s="253">
        <f t="shared" si="669"/>
        <v>275543</v>
      </c>
      <c r="AJ360" s="253">
        <f t="shared" si="669"/>
        <v>295472</v>
      </c>
      <c r="AK360" s="352">
        <f t="shared" ref="AK360:AL360" si="670">+AK310+AK320+AK330+AK340+AK350</f>
        <v>273534</v>
      </c>
      <c r="AL360" s="226">
        <f t="shared" si="670"/>
        <v>234042</v>
      </c>
      <c r="AM360" s="253">
        <f t="shared" ref="AM360:AO360" si="671">+AM310+AM320+AM330+AM340+AM350</f>
        <v>265002</v>
      </c>
      <c r="AN360" s="253">
        <f t="shared" si="671"/>
        <v>303757</v>
      </c>
      <c r="AO360" s="352">
        <f t="shared" si="671"/>
        <v>267147</v>
      </c>
      <c r="AP360" s="226">
        <f>+AP310+AP320+AP330+AP340+AP350</f>
        <v>240174</v>
      </c>
      <c r="AQ360" s="253">
        <f t="shared" ref="AQ360:AS360" si="672">+AQ310+AQ320+AQ330+AQ340+AQ350</f>
        <v>253094</v>
      </c>
      <c r="AR360" s="253">
        <f t="shared" si="672"/>
        <v>0</v>
      </c>
      <c r="AS360" s="352">
        <f t="shared" si="672"/>
        <v>0</v>
      </c>
    </row>
    <row r="361" spans="2:45" s="208" customFormat="1" x14ac:dyDescent="0.25">
      <c r="B361" s="227" t="s">
        <v>146</v>
      </c>
      <c r="F361" s="226">
        <f t="shared" ref="F361:N361" si="673">+F311+F321+F331+F341</f>
        <v>88653.401892065827</v>
      </c>
      <c r="G361" s="253">
        <f t="shared" si="673"/>
        <v>94778.794809336439</v>
      </c>
      <c r="H361" s="253">
        <f t="shared" si="673"/>
        <v>96176.182003830414</v>
      </c>
      <c r="I361" s="253">
        <f t="shared" si="673"/>
        <v>92608.291900377444</v>
      </c>
      <c r="J361" s="226">
        <f t="shared" si="673"/>
        <v>88909.005672157728</v>
      </c>
      <c r="K361" s="253">
        <f t="shared" si="673"/>
        <v>87752.456148804471</v>
      </c>
      <c r="L361" s="253">
        <f t="shared" si="673"/>
        <v>94623.733985363302</v>
      </c>
      <c r="M361" s="253">
        <f t="shared" si="673"/>
        <v>93124.941688056162</v>
      </c>
      <c r="N361" s="226">
        <f t="shared" si="673"/>
        <v>82231.004669749702</v>
      </c>
      <c r="O361" s="253">
        <f t="shared" si="663"/>
        <v>111732.8053560961</v>
      </c>
      <c r="P361" s="253">
        <f t="shared" si="663"/>
        <v>155872.21249999999</v>
      </c>
      <c r="Q361" s="253">
        <f t="shared" ref="Q361:R361" si="674">+Q311+Q321+Q331+Q341+Q351</f>
        <v>139155.64499999999</v>
      </c>
      <c r="R361" s="226">
        <f t="shared" si="674"/>
        <v>124545.9</v>
      </c>
      <c r="S361" s="253">
        <f t="shared" ref="S361:T361" si="675">+S311+S321+S331+S341+S351</f>
        <v>71243.95</v>
      </c>
      <c r="T361" s="253">
        <f t="shared" si="675"/>
        <v>127154.59483792506</v>
      </c>
      <c r="U361" s="253">
        <f t="shared" ref="U361:W361" si="676">+U311+U321+U331+U341+U351</f>
        <v>147623</v>
      </c>
      <c r="V361" s="226">
        <f t="shared" si="676"/>
        <v>132203.20000000001</v>
      </c>
      <c r="W361" s="253">
        <f t="shared" si="676"/>
        <v>144506.75</v>
      </c>
      <c r="X361" s="253">
        <f t="shared" ref="X361:AA361" si="677">+X311+X321+X331+X341+X351</f>
        <v>154054.70000000001</v>
      </c>
      <c r="Y361" s="352">
        <f t="shared" si="677"/>
        <v>135471.45000000001</v>
      </c>
      <c r="Z361" s="226">
        <f>+Z311+Z321+Z331+Z341+Z351</f>
        <v>126289</v>
      </c>
      <c r="AA361" s="253">
        <f t="shared" si="677"/>
        <v>127791.61505916889</v>
      </c>
      <c r="AB361" s="253">
        <f t="shared" ref="AB361:AC361" si="678">+AB311+AB321+AB331+AB341+AB351</f>
        <v>134375.74285612837</v>
      </c>
      <c r="AC361" s="352">
        <f t="shared" si="678"/>
        <v>128294</v>
      </c>
      <c r="AD361" s="226">
        <f>+AD311+AD321+AD331+AD341+AD351</f>
        <v>119675</v>
      </c>
      <c r="AE361" s="253">
        <f>+AE311+AE321+AE331+AE341+AE351</f>
        <v>132382</v>
      </c>
      <c r="AF361" s="253">
        <f t="shared" ref="AF361:AG361" si="679">+AF311+AF321+AF331+AF341+AF351</f>
        <v>141905</v>
      </c>
      <c r="AG361" s="352">
        <f t="shared" si="679"/>
        <v>132167</v>
      </c>
      <c r="AH361" s="226">
        <f>+AH311+AH321+AH331+AH341+AH351</f>
        <v>124986</v>
      </c>
      <c r="AI361" s="253">
        <f>+AI311+AI321+AI331+AI341+AI351</f>
        <v>138509</v>
      </c>
      <c r="AJ361" s="253">
        <f t="shared" ref="AJ361:AK361" si="680">+AJ311+AJ321+AJ331+AJ341+AJ351</f>
        <v>149695</v>
      </c>
      <c r="AK361" s="352">
        <f t="shared" si="680"/>
        <v>135461</v>
      </c>
      <c r="AL361" s="226">
        <f t="shared" ref="AL361:AS361" si="681">+AL311+AL321+AL331+AL341+AL351</f>
        <v>117595</v>
      </c>
      <c r="AM361" s="253">
        <f t="shared" si="681"/>
        <v>133185</v>
      </c>
      <c r="AN361" s="253">
        <f t="shared" si="681"/>
        <v>152633</v>
      </c>
      <c r="AO361" s="352">
        <f t="shared" si="681"/>
        <v>132447</v>
      </c>
      <c r="AP361" s="226">
        <f t="shared" si="681"/>
        <v>119797</v>
      </c>
      <c r="AQ361" s="253">
        <f t="shared" si="681"/>
        <v>129006</v>
      </c>
      <c r="AR361" s="253">
        <f t="shared" si="681"/>
        <v>0</v>
      </c>
      <c r="AS361" s="352">
        <f t="shared" si="681"/>
        <v>0</v>
      </c>
    </row>
    <row r="362" spans="2:45" s="208" customFormat="1" x14ac:dyDescent="0.25">
      <c r="B362" s="227" t="s">
        <v>147</v>
      </c>
      <c r="F362" s="226">
        <f t="shared" ref="F362:N362" si="682">+F312+F322+F332+F342</f>
        <v>20004.820767268775</v>
      </c>
      <c r="G362" s="253">
        <f t="shared" si="682"/>
        <v>29022.076276403146</v>
      </c>
      <c r="H362" s="253">
        <f t="shared" si="682"/>
        <v>25875.425896037414</v>
      </c>
      <c r="I362" s="253">
        <f t="shared" si="682"/>
        <v>25261.4278780444</v>
      </c>
      <c r="J362" s="226">
        <f t="shared" si="682"/>
        <v>24155.737364247652</v>
      </c>
      <c r="K362" s="253">
        <f t="shared" si="682"/>
        <v>20124.744161929106</v>
      </c>
      <c r="L362" s="253">
        <f t="shared" si="682"/>
        <v>25827.772112624163</v>
      </c>
      <c r="M362" s="253">
        <f t="shared" si="682"/>
        <v>25524.388327096487</v>
      </c>
      <c r="N362" s="226">
        <f t="shared" si="682"/>
        <v>22533.108630506271</v>
      </c>
      <c r="O362" s="253">
        <f t="shared" si="663"/>
        <v>31846.753680901267</v>
      </c>
      <c r="P362" s="253">
        <f t="shared" si="663"/>
        <v>46078.768499999998</v>
      </c>
      <c r="Q362" s="253">
        <f t="shared" ref="Q362:R362" si="683">+Q312+Q322+Q332+Q342+Q352</f>
        <v>40658.817999999999</v>
      </c>
      <c r="R362" s="226">
        <f t="shared" si="683"/>
        <v>36160.400000000001</v>
      </c>
      <c r="S362" s="253">
        <f t="shared" ref="S362:X362" si="684">+S312+S322+S332+S342+S352</f>
        <v>18553.900000000001</v>
      </c>
      <c r="T362" s="253">
        <f t="shared" si="684"/>
        <v>35599.738702166622</v>
      </c>
      <c r="U362" s="253">
        <f t="shared" si="684"/>
        <v>41765</v>
      </c>
      <c r="V362" s="226">
        <f t="shared" si="684"/>
        <v>38484.5</v>
      </c>
      <c r="W362" s="253">
        <f t="shared" si="684"/>
        <v>42721</v>
      </c>
      <c r="X362" s="253">
        <f t="shared" si="684"/>
        <v>44433</v>
      </c>
      <c r="Y362" s="352">
        <f t="shared" ref="Y362:AB362" si="685">+Y312+Y322+Y332+Y342+Y352</f>
        <v>39814.949999999997</v>
      </c>
      <c r="Z362" s="226">
        <f t="shared" si="685"/>
        <v>36738.400000000001</v>
      </c>
      <c r="AA362" s="253">
        <f t="shared" si="685"/>
        <v>37879.635647169765</v>
      </c>
      <c r="AB362" s="253">
        <f t="shared" si="685"/>
        <v>40296.499295280591</v>
      </c>
      <c r="AC362" s="352">
        <f t="shared" ref="AC362:AF362" si="686">+AC312+AC322+AC332+AC342+AC352</f>
        <v>38487</v>
      </c>
      <c r="AD362" s="226">
        <f t="shared" si="686"/>
        <v>35649</v>
      </c>
      <c r="AE362" s="253">
        <f t="shared" ref="AE362" si="687">+AE312+AE322+AE332+AE342+AE352</f>
        <v>39649</v>
      </c>
      <c r="AF362" s="253">
        <f t="shared" si="686"/>
        <v>42851</v>
      </c>
      <c r="AG362" s="352">
        <f t="shared" ref="AG362:AJ362" si="688">+AG312+AG322+AG332+AG342+AG352</f>
        <v>39598</v>
      </c>
      <c r="AH362" s="226">
        <f t="shared" si="688"/>
        <v>37265</v>
      </c>
      <c r="AI362" s="253">
        <f t="shared" si="688"/>
        <v>41998</v>
      </c>
      <c r="AJ362" s="253">
        <f t="shared" si="688"/>
        <v>45655</v>
      </c>
      <c r="AK362" s="352">
        <f t="shared" ref="AK362:AL362" si="689">+AK312+AK322+AK332+AK342+AK352</f>
        <v>40718</v>
      </c>
      <c r="AL362" s="226">
        <f t="shared" si="689"/>
        <v>35114</v>
      </c>
      <c r="AM362" s="253">
        <f t="shared" ref="AM362:AP362" si="690">+AM312+AM322+AM332+AM342+AM352</f>
        <v>40276</v>
      </c>
      <c r="AN362" s="253">
        <f t="shared" si="690"/>
        <v>46614</v>
      </c>
      <c r="AO362" s="352">
        <f t="shared" si="690"/>
        <v>39664</v>
      </c>
      <c r="AP362" s="226">
        <f t="shared" si="690"/>
        <v>36063</v>
      </c>
      <c r="AQ362" s="253">
        <f t="shared" ref="AQ362:AS362" si="691">+AQ312+AQ322+AQ332+AQ342+AQ352</f>
        <v>39470</v>
      </c>
      <c r="AR362" s="253">
        <f t="shared" si="691"/>
        <v>0</v>
      </c>
      <c r="AS362" s="352">
        <f t="shared" si="691"/>
        <v>0</v>
      </c>
    </row>
    <row r="363" spans="2:45" s="208" customFormat="1" x14ac:dyDescent="0.25">
      <c r="B363" s="227" t="s">
        <v>148</v>
      </c>
      <c r="F363" s="226">
        <f t="shared" ref="F363:N363" si="692">+F313+F323+F333+F343</f>
        <v>9975.788999119015</v>
      </c>
      <c r="G363" s="255">
        <f t="shared" si="692"/>
        <v>3225.6706874841002</v>
      </c>
      <c r="H363" s="255">
        <f t="shared" si="692"/>
        <v>7024.65825140991</v>
      </c>
      <c r="I363" s="255">
        <f t="shared" si="692"/>
        <v>6783.8613773464695</v>
      </c>
      <c r="J363" s="226">
        <f t="shared" si="692"/>
        <v>6689.587588225646</v>
      </c>
      <c r="K363" s="255">
        <f t="shared" si="692"/>
        <v>10217.509668014161</v>
      </c>
      <c r="L363" s="255">
        <f t="shared" si="692"/>
        <v>7046.7557942194762</v>
      </c>
      <c r="M363" s="255">
        <f t="shared" si="692"/>
        <v>6654.9750604525079</v>
      </c>
      <c r="N363" s="268">
        <f t="shared" si="692"/>
        <v>5634.3893555185796</v>
      </c>
      <c r="O363" s="253">
        <f t="shared" si="663"/>
        <v>7054.2131587515551</v>
      </c>
      <c r="P363" s="253">
        <f t="shared" si="663"/>
        <v>8894.5005000000001</v>
      </c>
      <c r="Q363" s="253">
        <f t="shared" ref="Q363:R363" si="693">+Q313+Q323+Q333+Q343+Q353</f>
        <v>8460.1689999999999</v>
      </c>
      <c r="R363" s="226">
        <f t="shared" si="693"/>
        <v>7951</v>
      </c>
      <c r="S363" s="253">
        <f t="shared" ref="S363:T363" si="694">+S313+S323+S333+S343+S353</f>
        <v>6644.5</v>
      </c>
      <c r="T363" s="253">
        <f t="shared" si="694"/>
        <v>9692.2711451840914</v>
      </c>
      <c r="U363" s="253">
        <f t="shared" ref="U363:W363" si="695">+U313+U323+U333+U343+U353</f>
        <v>10103</v>
      </c>
      <c r="V363" s="226">
        <f t="shared" si="695"/>
        <v>9208.5</v>
      </c>
      <c r="W363" s="253">
        <f t="shared" si="695"/>
        <v>11934</v>
      </c>
      <c r="X363" s="253">
        <f t="shared" ref="X363:AA363" si="696">+X313+X323+X333+X343+X353</f>
        <v>11173.8</v>
      </c>
      <c r="Y363" s="352">
        <f t="shared" si="696"/>
        <v>10096.849999999999</v>
      </c>
      <c r="Z363" s="226">
        <f>+Z313+Z323+Z333+Z343+Z353</f>
        <v>8111.9</v>
      </c>
      <c r="AA363" s="253">
        <f t="shared" si="696"/>
        <v>7942.1915656288957</v>
      </c>
      <c r="AB363" s="253">
        <f t="shared" ref="AB363:AC363" si="697">+AB313+AB323+AB333+AB343+AB353</f>
        <v>8216.4451743184381</v>
      </c>
      <c r="AC363" s="352">
        <f t="shared" si="697"/>
        <v>8048</v>
      </c>
      <c r="AD363" s="226">
        <f>+AD313+AD323+AD333+AD343+AD353</f>
        <v>7472</v>
      </c>
      <c r="AE363" s="253">
        <f>+AE313+AE323+AE333+AE343+AE353</f>
        <v>7825</v>
      </c>
      <c r="AF363" s="253">
        <f t="shared" ref="AF363:AG363" si="698">+AF313+AF323+AF333+AF343+AF353</f>
        <v>8036</v>
      </c>
      <c r="AG363" s="352">
        <f t="shared" si="698"/>
        <v>7780</v>
      </c>
      <c r="AH363" s="226">
        <f>+AH313+AH323+AH333+AH343+AH353</f>
        <v>7261</v>
      </c>
      <c r="AI363" s="253">
        <f>+AI313+AI323+AI333+AI343+AI353</f>
        <v>7638</v>
      </c>
      <c r="AJ363" s="253">
        <f t="shared" ref="AJ363:AK363" si="699">+AJ313+AJ323+AJ333+AJ343+AJ353</f>
        <v>8234</v>
      </c>
      <c r="AK363" s="352">
        <f t="shared" si="699"/>
        <v>8035</v>
      </c>
      <c r="AL363" s="226">
        <f t="shared" ref="AL363:AS363" si="700">+AL313+AL323+AL333+AL343+AL353</f>
        <v>7125</v>
      </c>
      <c r="AM363" s="253">
        <f t="shared" si="700"/>
        <v>7707</v>
      </c>
      <c r="AN363" s="253">
        <f t="shared" si="700"/>
        <v>8048</v>
      </c>
      <c r="AO363" s="352">
        <f t="shared" si="700"/>
        <v>7572</v>
      </c>
      <c r="AP363" s="226">
        <f t="shared" si="700"/>
        <v>6931</v>
      </c>
      <c r="AQ363" s="253">
        <f t="shared" si="700"/>
        <v>6772</v>
      </c>
      <c r="AR363" s="253">
        <f t="shared" si="700"/>
        <v>0</v>
      </c>
      <c r="AS363" s="352">
        <f t="shared" si="700"/>
        <v>0</v>
      </c>
    </row>
    <row r="364" spans="2:45" s="208" customFormat="1" x14ac:dyDescent="0.25">
      <c r="B364" s="331" t="s">
        <v>170</v>
      </c>
      <c r="C364" s="333"/>
      <c r="D364" s="333"/>
      <c r="E364" s="333"/>
      <c r="F364" s="267">
        <f>SUM(F360:F363)+1</f>
        <v>286715.94272918027</v>
      </c>
      <c r="G364" s="254">
        <f t="shared" ref="G364:O364" si="701">SUM(G360:G363)</f>
        <v>303996.38427159574</v>
      </c>
      <c r="H364" s="254">
        <f t="shared" si="701"/>
        <v>306184.29518958897</v>
      </c>
      <c r="I364" s="254">
        <f t="shared" si="701"/>
        <v>297451.83237567614</v>
      </c>
      <c r="J364" s="381">
        <f>SUM(J360:J363)-0.5</f>
        <v>286193.94341368892</v>
      </c>
      <c r="K364" s="254">
        <f t="shared" si="701"/>
        <v>282971.73975399864</v>
      </c>
      <c r="L364" s="254">
        <f t="shared" si="701"/>
        <v>305226.28110325901</v>
      </c>
      <c r="M364" s="254">
        <f>SUM(M360:M363)+1</f>
        <v>301280.10819420248</v>
      </c>
      <c r="N364" s="267">
        <f t="shared" si="701"/>
        <v>263507.72635160014</v>
      </c>
      <c r="O364" s="254">
        <f t="shared" si="701"/>
        <v>364482.82649636996</v>
      </c>
      <c r="P364" s="254">
        <f t="shared" ref="P364:U364" si="702">SUM(P360:P363)</f>
        <v>518622.86249999999</v>
      </c>
      <c r="Q364" s="254">
        <f t="shared" si="702"/>
        <v>461718.91099999996</v>
      </c>
      <c r="R364" s="267">
        <f t="shared" si="702"/>
        <v>418072.1</v>
      </c>
      <c r="S364" s="254">
        <f t="shared" si="702"/>
        <v>239755.74999999997</v>
      </c>
      <c r="T364" s="254">
        <f t="shared" si="702"/>
        <v>427715.0575936953</v>
      </c>
      <c r="U364" s="254">
        <f t="shared" si="702"/>
        <v>490964</v>
      </c>
      <c r="V364" s="267">
        <f t="shared" ref="V364" si="703">SUM(V360:V363)</f>
        <v>444608.60000000003</v>
      </c>
      <c r="W364" s="254">
        <f t="shared" ref="W364:X364" si="704">SUM(W360:W363)</f>
        <v>484382.5</v>
      </c>
      <c r="X364" s="254">
        <f t="shared" si="704"/>
        <v>513777.8</v>
      </c>
      <c r="Y364" s="382">
        <f t="shared" ref="Y364:AB364" si="705">SUM(Y360:Y363)</f>
        <v>453902.25</v>
      </c>
      <c r="Z364" s="267">
        <f t="shared" si="705"/>
        <v>421539.80000000005</v>
      </c>
      <c r="AA364" s="254">
        <f t="shared" si="705"/>
        <v>427612.03013555275</v>
      </c>
      <c r="AB364" s="254">
        <f t="shared" si="705"/>
        <v>448863.18732572743</v>
      </c>
      <c r="AC364" s="382">
        <f t="shared" ref="AC364:AF364" si="706">SUM(AC360:AC363)</f>
        <v>432793</v>
      </c>
      <c r="AD364" s="267">
        <f t="shared" si="706"/>
        <v>403699</v>
      </c>
      <c r="AE364" s="254">
        <f t="shared" ref="AE364" si="707">SUM(AE360:AE363)</f>
        <v>445024</v>
      </c>
      <c r="AF364" s="254">
        <f t="shared" si="706"/>
        <v>475555</v>
      </c>
      <c r="AG364" s="382">
        <f t="shared" ref="AG364:AJ364" si="708">SUM(AG360:AG363)</f>
        <v>445052</v>
      </c>
      <c r="AH364" s="267">
        <f t="shared" si="708"/>
        <v>414918</v>
      </c>
      <c r="AI364" s="254">
        <f t="shared" si="708"/>
        <v>463688</v>
      </c>
      <c r="AJ364" s="254">
        <f t="shared" si="708"/>
        <v>499056</v>
      </c>
      <c r="AK364" s="382">
        <f t="shared" ref="AK364:AL364" si="709">SUM(AK360:AK363)</f>
        <v>457748</v>
      </c>
      <c r="AL364" s="267">
        <f t="shared" si="709"/>
        <v>393876</v>
      </c>
      <c r="AM364" s="254">
        <f t="shared" ref="AM364:AP364" si="710">SUM(AM360:AM363)</f>
        <v>446170</v>
      </c>
      <c r="AN364" s="254">
        <f t="shared" si="710"/>
        <v>511052</v>
      </c>
      <c r="AO364" s="382">
        <f t="shared" si="710"/>
        <v>446830</v>
      </c>
      <c r="AP364" s="267">
        <f t="shared" si="710"/>
        <v>402965</v>
      </c>
      <c r="AQ364" s="254">
        <f t="shared" ref="AQ364:AS364" si="711">SUM(AQ360:AQ363)</f>
        <v>428342</v>
      </c>
      <c r="AR364" s="254">
        <f t="shared" si="711"/>
        <v>0</v>
      </c>
      <c r="AS364" s="382">
        <f t="shared" si="711"/>
        <v>0</v>
      </c>
    </row>
    <row r="365" spans="2:45" s="208" customFormat="1" x14ac:dyDescent="0.25">
      <c r="B365" s="227" t="s">
        <v>150</v>
      </c>
      <c r="F365" s="380">
        <f t="shared" ref="F365:N365" si="712">+F315+F325+F335+F345</f>
        <v>37642.275852795327</v>
      </c>
      <c r="G365" s="253">
        <f t="shared" si="712"/>
        <v>39490.234499119237</v>
      </c>
      <c r="H365" s="253">
        <f t="shared" si="712"/>
        <v>40265.397707828917</v>
      </c>
      <c r="I365" s="253">
        <f t="shared" si="712"/>
        <v>38813.925808317377</v>
      </c>
      <c r="J365" s="380">
        <f t="shared" si="712"/>
        <v>37963.823689893485</v>
      </c>
      <c r="K365" s="253">
        <f t="shared" si="712"/>
        <v>37441.03076219745</v>
      </c>
      <c r="L365" s="253">
        <f t="shared" si="712"/>
        <v>41001.214727255145</v>
      </c>
      <c r="M365" s="253">
        <f t="shared" si="712"/>
        <v>40097.543623704623</v>
      </c>
      <c r="N365" s="226">
        <f t="shared" si="712"/>
        <v>35603.727278095786</v>
      </c>
      <c r="O365" s="253">
        <f t="shared" ref="O365:Q366" si="713">+O315+O325+O335+O345+O355</f>
        <v>50811.480639699119</v>
      </c>
      <c r="P365" s="253">
        <f t="shared" si="713"/>
        <v>74263.603499999997</v>
      </c>
      <c r="Q365" s="253">
        <f t="shared" si="713"/>
        <v>65201.926999999996</v>
      </c>
      <c r="R365" s="226">
        <f t="shared" ref="R365:S365" si="714">+R315+R325+R335+R345+R355</f>
        <v>58908</v>
      </c>
      <c r="S365" s="253">
        <f t="shared" si="714"/>
        <v>31192</v>
      </c>
      <c r="T365" s="253">
        <f t="shared" ref="T365:U365" si="715">+T315+T325+T335+T345+T355</f>
        <v>56991.477370712193</v>
      </c>
      <c r="U365" s="253">
        <f t="shared" si="715"/>
        <v>65454</v>
      </c>
      <c r="V365" s="226">
        <f t="shared" ref="V365" si="716">+V315+V325+V335+V345+V355</f>
        <v>60995.5</v>
      </c>
      <c r="W365" s="253">
        <f t="shared" ref="W365:Y366" si="717">+W315+W325+W335+W345+W355</f>
        <v>80431</v>
      </c>
      <c r="X365" s="253">
        <f t="shared" si="717"/>
        <v>80065</v>
      </c>
      <c r="Y365" s="352">
        <f t="shared" si="717"/>
        <v>72992.5</v>
      </c>
      <c r="Z365" s="226">
        <f>+Z315+Z325+Z335+Z345+Z355</f>
        <v>58777</v>
      </c>
      <c r="AA365" s="253">
        <f t="shared" ref="AA365:AC365" si="718">+AA315+AA325+AA335+AA345+AA355</f>
        <v>59933.40332493707</v>
      </c>
      <c r="AB365" s="253">
        <f t="shared" si="718"/>
        <v>64191.6</v>
      </c>
      <c r="AC365" s="352">
        <f t="shared" si="718"/>
        <v>60965</v>
      </c>
      <c r="AD365" s="226">
        <f>+AD315+AD325+AD335+AD345+AD355</f>
        <v>56498</v>
      </c>
      <c r="AE365" s="253">
        <f>+AE315+AE325+AE335+AE345+AE355</f>
        <v>63158</v>
      </c>
      <c r="AF365" s="253">
        <f t="shared" ref="AF365:AG365" si="719">+AF315+AF325+AF335+AF345+AF355</f>
        <v>67800</v>
      </c>
      <c r="AG365" s="352">
        <f t="shared" si="719"/>
        <v>63423</v>
      </c>
      <c r="AH365" s="226">
        <f>+AH315+AH325+AH335+AH345+AH355</f>
        <v>59415</v>
      </c>
      <c r="AI365" s="253">
        <f>+AI315+AI325+AI335+AI345+AI355</f>
        <v>67447</v>
      </c>
      <c r="AJ365" s="253">
        <f t="shared" ref="AJ365:AK365" si="720">+AJ315+AJ325+AJ335+AJ345+AJ355</f>
        <v>73119</v>
      </c>
      <c r="AK365" s="352">
        <f t="shared" si="720"/>
        <v>65527</v>
      </c>
      <c r="AL365" s="226">
        <f t="shared" ref="AL365:AO366" si="721">+AL315+AL325+AL335+AL345+AL355</f>
        <v>55945</v>
      </c>
      <c r="AM365" s="253">
        <f t="shared" si="721"/>
        <v>64240</v>
      </c>
      <c r="AN365" s="253">
        <f t="shared" si="721"/>
        <v>73981</v>
      </c>
      <c r="AO365" s="352">
        <f t="shared" si="721"/>
        <v>64227</v>
      </c>
      <c r="AP365" s="226">
        <f t="shared" ref="AP365:AS365" si="722">+AP315+AP325+AP335+AP345+AP355</f>
        <v>58173</v>
      </c>
      <c r="AQ365" s="253">
        <f t="shared" si="722"/>
        <v>61876</v>
      </c>
      <c r="AR365" s="253">
        <f t="shared" si="722"/>
        <v>0</v>
      </c>
      <c r="AS365" s="352">
        <f t="shared" si="722"/>
        <v>0</v>
      </c>
    </row>
    <row r="366" spans="2:45" s="208" customFormat="1" x14ac:dyDescent="0.25">
      <c r="B366" s="227" t="s">
        <v>151</v>
      </c>
      <c r="F366" s="380">
        <f t="shared" ref="F366:N366" si="723">+F316+F326+F336+F346</f>
        <v>8779.6984585203572</v>
      </c>
      <c r="G366" s="253">
        <f t="shared" si="723"/>
        <v>9136.3149652837601</v>
      </c>
      <c r="H366" s="253">
        <f t="shared" si="723"/>
        <v>9260.9148614338137</v>
      </c>
      <c r="I366" s="253">
        <f t="shared" si="723"/>
        <v>8824.6606359275283</v>
      </c>
      <c r="J366" s="380">
        <f t="shared" si="723"/>
        <v>7248.8019488630907</v>
      </c>
      <c r="K366" s="253">
        <f t="shared" si="723"/>
        <v>9969.3687475391362</v>
      </c>
      <c r="L366" s="253">
        <f t="shared" si="723"/>
        <v>9469.6032826575192</v>
      </c>
      <c r="M366" s="253">
        <f t="shared" si="723"/>
        <v>9158.2614268367142</v>
      </c>
      <c r="N366" s="226">
        <f t="shared" si="723"/>
        <v>8169.3181471871894</v>
      </c>
      <c r="O366" s="253">
        <f t="shared" si="713"/>
        <v>12287.40167252151</v>
      </c>
      <c r="P366" s="253">
        <f t="shared" si="713"/>
        <v>18731.380499999999</v>
      </c>
      <c r="Q366" s="253">
        <f t="shared" si="713"/>
        <v>16404.807000000001</v>
      </c>
      <c r="R366" s="226">
        <f t="shared" ref="R366:S366" si="724">+R316+R326+R336+R346+R356</f>
        <v>14506</v>
      </c>
      <c r="S366" s="253">
        <f t="shared" si="724"/>
        <v>7787.9</v>
      </c>
      <c r="T366" s="253">
        <f t="shared" ref="T366:U366" si="725">+T316+T326+T336+T346+T356</f>
        <v>14038.91561168191</v>
      </c>
      <c r="U366" s="253">
        <f t="shared" si="725"/>
        <v>16214</v>
      </c>
      <c r="V366" s="226">
        <f t="shared" ref="V366" si="726">+V316+V326+V336+V346+V356</f>
        <v>15436</v>
      </c>
      <c r="W366" s="253">
        <f t="shared" si="717"/>
        <v>17786</v>
      </c>
      <c r="X366" s="253">
        <f t="shared" si="717"/>
        <v>18450.7</v>
      </c>
      <c r="Y366" s="352">
        <f t="shared" si="717"/>
        <v>16561</v>
      </c>
      <c r="Z366" s="226">
        <f>+Z316+Z326+Z336+Z346+Z356</f>
        <v>14566</v>
      </c>
      <c r="AA366" s="253">
        <f t="shared" ref="AA366:AC366" si="727">+AA316+AA326+AA336+AA346+AA356</f>
        <v>15298.976255813352</v>
      </c>
      <c r="AB366" s="255">
        <f t="shared" si="727"/>
        <v>16034.484512459228</v>
      </c>
      <c r="AC366" s="478">
        <f t="shared" si="727"/>
        <v>15602</v>
      </c>
      <c r="AD366" s="226">
        <f>+AD316+AD326+AD336+AD346+AD356</f>
        <v>14323</v>
      </c>
      <c r="AE366" s="253">
        <f>+AE316+AE326+AE336+AE346+AE356</f>
        <v>16016</v>
      </c>
      <c r="AF366" s="255">
        <f t="shared" ref="AF366:AG366" si="728">+AF316+AF326+AF336+AF346+AF356</f>
        <v>16836</v>
      </c>
      <c r="AG366" s="478">
        <f t="shared" si="728"/>
        <v>15959</v>
      </c>
      <c r="AH366" s="226">
        <f>+AH316+AH326+AH336+AH346+AH356</f>
        <v>15123</v>
      </c>
      <c r="AI366" s="253">
        <f>+AI316+AI326+AI336+AI346+AI356</f>
        <v>16945</v>
      </c>
      <c r="AJ366" s="255">
        <f t="shared" ref="AJ366:AK366" si="729">+AJ316+AJ326+AJ336+AJ346+AJ356</f>
        <v>16773</v>
      </c>
      <c r="AK366" s="478">
        <f t="shared" si="729"/>
        <v>15145</v>
      </c>
      <c r="AL366" s="226">
        <f t="shared" si="721"/>
        <v>13367</v>
      </c>
      <c r="AM366" s="253">
        <f t="shared" si="721"/>
        <v>14769</v>
      </c>
      <c r="AN366" s="255">
        <f t="shared" si="721"/>
        <v>16990</v>
      </c>
      <c r="AO366" s="478">
        <f t="shared" si="721"/>
        <v>14703</v>
      </c>
      <c r="AP366" s="226">
        <f>+AP316+AP326+AP336+AP346+AP356</f>
        <v>13440</v>
      </c>
      <c r="AQ366" s="253">
        <f t="shared" ref="AQ366:AS366" si="730">+AQ316+AQ326+AQ336+AQ346+AQ356</f>
        <v>14304</v>
      </c>
      <c r="AR366" s="255">
        <f t="shared" si="730"/>
        <v>0</v>
      </c>
      <c r="AS366" s="478">
        <f t="shared" si="730"/>
        <v>0</v>
      </c>
    </row>
    <row r="367" spans="2:45" s="208" customFormat="1" x14ac:dyDescent="0.25">
      <c r="B367" s="494" t="s">
        <v>171</v>
      </c>
      <c r="C367" s="333"/>
      <c r="D367" s="333"/>
      <c r="E367" s="333"/>
      <c r="F367" s="495">
        <f t="shared" ref="F367:O367" si="731">SUM(F364:F366)</f>
        <v>333137.91704049596</v>
      </c>
      <c r="G367" s="254">
        <f t="shared" si="731"/>
        <v>352622.9337359987</v>
      </c>
      <c r="H367" s="254">
        <f t="shared" si="731"/>
        <v>355710.60775885166</v>
      </c>
      <c r="I367" s="254">
        <f t="shared" si="731"/>
        <v>345090.41881992103</v>
      </c>
      <c r="J367" s="254">
        <f t="shared" si="731"/>
        <v>331406.56905244547</v>
      </c>
      <c r="K367" s="254">
        <f t="shared" si="731"/>
        <v>330382.13926373521</v>
      </c>
      <c r="L367" s="254">
        <f t="shared" si="731"/>
        <v>355697.09911317169</v>
      </c>
      <c r="M367" s="254">
        <f t="shared" si="731"/>
        <v>350535.91324474383</v>
      </c>
      <c r="N367" s="254">
        <f t="shared" si="731"/>
        <v>307280.77177688311</v>
      </c>
      <c r="O367" s="254">
        <f t="shared" si="731"/>
        <v>427581.70880859054</v>
      </c>
      <c r="P367" s="254">
        <f t="shared" ref="P367:U367" si="732">SUM(P364:P366)</f>
        <v>611617.84649999999</v>
      </c>
      <c r="Q367" s="254">
        <f t="shared" si="732"/>
        <v>543325.64500000002</v>
      </c>
      <c r="R367" s="254">
        <f t="shared" si="732"/>
        <v>491486.1</v>
      </c>
      <c r="S367" s="254">
        <f t="shared" si="732"/>
        <v>278735.65000000002</v>
      </c>
      <c r="T367" s="254">
        <f t="shared" si="732"/>
        <v>498745.45057608944</v>
      </c>
      <c r="U367" s="254">
        <f t="shared" si="732"/>
        <v>572632</v>
      </c>
      <c r="V367" s="254">
        <f t="shared" ref="V367:W367" si="733">SUM(V364:V366)</f>
        <v>521040.10000000003</v>
      </c>
      <c r="W367" s="254">
        <f t="shared" si="733"/>
        <v>582599.5</v>
      </c>
      <c r="X367" s="254">
        <f t="shared" ref="X367:AA367" si="734">SUM(X364:X366)</f>
        <v>612293.5</v>
      </c>
      <c r="Y367" s="254">
        <f t="shared" si="734"/>
        <v>543455.75</v>
      </c>
      <c r="Z367" s="267">
        <f t="shared" si="734"/>
        <v>494882.80000000005</v>
      </c>
      <c r="AA367" s="254">
        <f t="shared" si="734"/>
        <v>502844.40971630323</v>
      </c>
      <c r="AB367" s="254">
        <f t="shared" ref="AB367:AD367" si="735">SUM(AB364:AB366)</f>
        <v>529089.27183818666</v>
      </c>
      <c r="AC367" s="382">
        <f t="shared" si="735"/>
        <v>509360</v>
      </c>
      <c r="AD367" s="267">
        <f t="shared" si="735"/>
        <v>474520</v>
      </c>
      <c r="AE367" s="254">
        <f t="shared" ref="AE367" si="736">SUM(AE364:AE366)</f>
        <v>524198</v>
      </c>
      <c r="AF367" s="254">
        <f t="shared" ref="AF367:AI367" si="737">SUM(AF364:AF366)</f>
        <v>560191</v>
      </c>
      <c r="AG367" s="382">
        <f t="shared" si="737"/>
        <v>524434</v>
      </c>
      <c r="AH367" s="267">
        <f t="shared" si="737"/>
        <v>489456</v>
      </c>
      <c r="AI367" s="254">
        <f t="shared" si="737"/>
        <v>548080</v>
      </c>
      <c r="AJ367" s="254">
        <f t="shared" ref="AJ367:AL367" si="738">SUM(AJ364:AJ366)</f>
        <v>588948</v>
      </c>
      <c r="AK367" s="382">
        <f t="shared" si="738"/>
        <v>538420</v>
      </c>
      <c r="AL367" s="267">
        <f t="shared" si="738"/>
        <v>463188</v>
      </c>
      <c r="AM367" s="254">
        <f t="shared" ref="AM367:AP367" si="739">SUM(AM364:AM366)</f>
        <v>525179</v>
      </c>
      <c r="AN367" s="254">
        <f t="shared" si="739"/>
        <v>602023</v>
      </c>
      <c r="AO367" s="382">
        <f t="shared" si="739"/>
        <v>525760</v>
      </c>
      <c r="AP367" s="267">
        <f t="shared" si="739"/>
        <v>474578</v>
      </c>
      <c r="AQ367" s="254">
        <f t="shared" ref="AQ367:AS367" si="740">SUM(AQ364:AQ366)</f>
        <v>504522</v>
      </c>
      <c r="AR367" s="254">
        <f t="shared" si="740"/>
        <v>0</v>
      </c>
      <c r="AS367" s="382">
        <f t="shared" si="740"/>
        <v>0</v>
      </c>
    </row>
    <row r="368" spans="2:45" s="208" customFormat="1" x14ac:dyDescent="0.25">
      <c r="F368" s="492"/>
      <c r="G368" s="490"/>
      <c r="H368" s="490"/>
      <c r="I368" s="493"/>
      <c r="J368" s="490"/>
      <c r="K368" s="490"/>
      <c r="L368" s="490"/>
      <c r="M368" s="493"/>
      <c r="N368" s="490"/>
      <c r="O368" s="490"/>
      <c r="P368" s="490"/>
      <c r="Q368" s="490"/>
      <c r="R368" s="492"/>
      <c r="S368" s="490"/>
      <c r="T368" s="490"/>
      <c r="U368" s="490"/>
      <c r="V368" s="492"/>
      <c r="W368" s="490"/>
      <c r="X368" s="490"/>
      <c r="Y368" s="493"/>
      <c r="Z368" s="492"/>
      <c r="AA368" s="490"/>
      <c r="AB368" s="490"/>
      <c r="AC368" s="493"/>
      <c r="AD368" s="492"/>
      <c r="AE368" s="490"/>
      <c r="AF368" s="490"/>
      <c r="AG368" s="493"/>
      <c r="AH368" s="492"/>
      <c r="AI368" s="490"/>
      <c r="AJ368" s="490"/>
      <c r="AK368" s="493"/>
      <c r="AL368" s="492"/>
      <c r="AM368" s="490"/>
      <c r="AN368" s="490"/>
      <c r="AO368" s="493"/>
      <c r="AP368" s="492"/>
      <c r="AQ368" s="490"/>
      <c r="AR368" s="490"/>
      <c r="AS368" s="493"/>
    </row>
    <row r="369" spans="1:45" s="208" customFormat="1" x14ac:dyDescent="0.25">
      <c r="B369" s="443" t="s">
        <v>172</v>
      </c>
      <c r="F369" s="442">
        <v>231564</v>
      </c>
      <c r="G369" s="443">
        <v>237473</v>
      </c>
      <c r="H369" s="443">
        <v>227168</v>
      </c>
      <c r="I369" s="489">
        <v>248182</v>
      </c>
      <c r="J369" s="443">
        <v>194460</v>
      </c>
      <c r="K369" s="443">
        <v>204108</v>
      </c>
      <c r="L369" s="443">
        <v>204277</v>
      </c>
      <c r="M369" s="489">
        <v>221447</v>
      </c>
      <c r="N369" s="443">
        <v>191080</v>
      </c>
      <c r="O369" s="443">
        <f>235349+165732</f>
        <v>401081</v>
      </c>
      <c r="P369" s="443">
        <f>242015+460218</f>
        <v>702233</v>
      </c>
      <c r="Q369" s="443">
        <f>316785+206176</f>
        <v>522961</v>
      </c>
      <c r="R369" s="442">
        <v>487149</v>
      </c>
      <c r="S369" s="443">
        <v>244850</v>
      </c>
      <c r="T369" s="443">
        <v>514353</v>
      </c>
      <c r="U369" s="443">
        <v>560786</v>
      </c>
      <c r="V369" s="442">
        <v>476169</v>
      </c>
      <c r="W369" s="443">
        <v>573461</v>
      </c>
      <c r="X369" s="443">
        <v>598561</v>
      </c>
      <c r="Y369" s="489">
        <v>527803</v>
      </c>
      <c r="Z369" s="442">
        <v>523038</v>
      </c>
      <c r="AA369" s="443">
        <v>606869</v>
      </c>
      <c r="AB369" s="443">
        <v>583427</v>
      </c>
      <c r="AC369" s="489">
        <v>535506</v>
      </c>
      <c r="AD369" s="442">
        <v>527499</v>
      </c>
      <c r="AE369" s="443">
        <v>576319</v>
      </c>
      <c r="AF369" s="443">
        <v>607092</v>
      </c>
      <c r="AG369" s="489">
        <v>613242</v>
      </c>
      <c r="AH369" s="442">
        <v>623943</v>
      </c>
      <c r="AI369" s="443">
        <v>698521</v>
      </c>
      <c r="AJ369" s="443">
        <v>707095</v>
      </c>
      <c r="AK369" s="489">
        <v>636825</v>
      </c>
      <c r="AL369" s="442">
        <v>569093</v>
      </c>
      <c r="AM369" s="443">
        <v>592558</v>
      </c>
      <c r="AN369" s="443">
        <v>673439</v>
      </c>
      <c r="AO369" s="489">
        <v>486205</v>
      </c>
      <c r="AP369" s="442">
        <v>456252</v>
      </c>
      <c r="AQ369" s="443">
        <v>494639</v>
      </c>
      <c r="AR369" s="443"/>
      <c r="AS369" s="489"/>
    </row>
    <row r="370" spans="1:45" s="208" customFormat="1" x14ac:dyDescent="0.25">
      <c r="F370" s="307"/>
      <c r="I370" s="305"/>
      <c r="M370" s="305"/>
      <c r="O370" s="208" t="s">
        <v>173</v>
      </c>
      <c r="R370" s="225"/>
      <c r="V370" s="225"/>
      <c r="Y370" s="227"/>
      <c r="Z370" s="225"/>
      <c r="AC370" s="227"/>
      <c r="AD370" s="225"/>
      <c r="AG370" s="227"/>
      <c r="AH370" s="225"/>
      <c r="AK370" s="227"/>
      <c r="AL370" s="225"/>
      <c r="AO370" s="227"/>
      <c r="AP370" s="225"/>
      <c r="AS370" s="227"/>
    </row>
    <row r="371" spans="1:45" s="208" customFormat="1" x14ac:dyDescent="0.25">
      <c r="B371" s="330" t="s">
        <v>166</v>
      </c>
      <c r="C371" s="333"/>
      <c r="D371" s="333"/>
      <c r="E371" s="257"/>
      <c r="F371" s="334"/>
      <c r="G371" s="257"/>
      <c r="H371" s="257"/>
      <c r="I371" s="257"/>
      <c r="J371" s="270"/>
      <c r="K371" s="257"/>
      <c r="L371" s="257"/>
      <c r="M371" s="257"/>
      <c r="N371" s="270"/>
      <c r="O371" s="257"/>
      <c r="P371" s="257"/>
      <c r="Q371" s="257"/>
      <c r="R371" s="270"/>
      <c r="S371" s="257"/>
      <c r="T371" s="257"/>
      <c r="U371" s="257"/>
      <c r="V371" s="270"/>
      <c r="W371" s="257"/>
      <c r="X371" s="257"/>
      <c r="Y371" s="477"/>
      <c r="Z371" s="270"/>
      <c r="AA371" s="257"/>
      <c r="AB371" s="257"/>
      <c r="AC371" s="477"/>
      <c r="AD371" s="270"/>
      <c r="AE371" s="257"/>
      <c r="AF371" s="257"/>
      <c r="AG371" s="477"/>
      <c r="AH371" s="270"/>
      <c r="AI371" s="257"/>
      <c r="AJ371" s="257"/>
      <c r="AK371" s="477"/>
      <c r="AL371" s="270"/>
      <c r="AM371" s="257"/>
      <c r="AN371" s="257"/>
      <c r="AO371" s="477"/>
      <c r="AP371" s="270"/>
      <c r="AQ371" s="257"/>
      <c r="AR371" s="257"/>
      <c r="AS371" s="477"/>
    </row>
    <row r="372" spans="1:45" s="208" customFormat="1" x14ac:dyDescent="0.25">
      <c r="B372" s="227" t="s">
        <v>145</v>
      </c>
      <c r="F372" s="237">
        <f>+F360/$F$364</f>
        <v>0.58622806067498234</v>
      </c>
      <c r="G372" s="335">
        <f>+G360/$G$364</f>
        <v>0.58214456373357415</v>
      </c>
      <c r="H372" s="335">
        <f>+H360/$H$364</f>
        <v>0.57843603287571022</v>
      </c>
      <c r="I372" s="335">
        <f>+I360/$I$364</f>
        <v>0.5809285148449409</v>
      </c>
      <c r="J372" s="237">
        <f>+J360/$J$364</f>
        <v>0.58156406387842829</v>
      </c>
      <c r="K372" s="335">
        <f>+K360/$K$364</f>
        <v>0.58266252989993494</v>
      </c>
      <c r="L372" s="335">
        <f>+L360/$L$364</f>
        <v>0.58228281840162432</v>
      </c>
      <c r="M372" s="335">
        <f>+M360/$M$364</f>
        <v>0.58409034759495482</v>
      </c>
      <c r="N372" s="237">
        <f>+N360/$N$364</f>
        <v>0.58104263512763532</v>
      </c>
      <c r="O372" s="335">
        <f>+O360/$O$364</f>
        <v>0.58671915040899991</v>
      </c>
      <c r="P372" s="335">
        <f>+P360/$P$364</f>
        <v>0.59345124030277396</v>
      </c>
      <c r="Q372" s="335">
        <f t="shared" ref="Q372:Q375" si="741">+Q360/$Q$364</f>
        <v>0.5922310576531703</v>
      </c>
      <c r="R372" s="237">
        <v>0.6</v>
      </c>
      <c r="S372" s="335">
        <v>0.6</v>
      </c>
      <c r="T372" s="335">
        <f>+T360/$T$364</f>
        <v>0.59681895312395072</v>
      </c>
      <c r="U372" s="335">
        <f t="shared" ref="U372:U375" si="742">+U360/$U$364</f>
        <v>0.59367489266015427</v>
      </c>
      <c r="V372" s="237">
        <v>0.6</v>
      </c>
      <c r="W372" s="335">
        <f>+W360/$W$364</f>
        <v>0.58883372128431555</v>
      </c>
      <c r="X372" s="335">
        <f t="shared" ref="X372:X375" si="743">+X360/$X$364</f>
        <v>0.5919218385846956</v>
      </c>
      <c r="Y372" s="414">
        <f>+Y360/$Y$364</f>
        <v>0.59157891374189042</v>
      </c>
      <c r="Z372" s="237">
        <f>+Z360/$Z$364</f>
        <v>0.5940138985690081</v>
      </c>
      <c r="AA372" s="335">
        <f>+AA360/$AA$364</f>
        <v>0.5939930824281715</v>
      </c>
      <c r="AB372" s="335">
        <f>+AB360/$AB$364</f>
        <v>0.59255137759156395</v>
      </c>
      <c r="AC372" s="414">
        <f>+AC360/$AC$364</f>
        <v>0.59604476042819543</v>
      </c>
      <c r="AD372" s="237">
        <f>+AD360/$AD$364</f>
        <v>0.59673915466721494</v>
      </c>
      <c r="AE372" s="335">
        <f>+AE360/$AE$364</f>
        <v>0.59585101028259146</v>
      </c>
      <c r="AF372" s="335">
        <f>+AF360/$AF$364</f>
        <v>0.59459578807919167</v>
      </c>
      <c r="AG372" s="414">
        <f>+AG360/$AG$364</f>
        <v>0.59657523165832305</v>
      </c>
      <c r="AH372" s="237">
        <f>+AH360/$AH$364</f>
        <v>0.59145662516449038</v>
      </c>
      <c r="AI372" s="335">
        <f>+AI360/$AI$364</f>
        <v>0.59424224909853174</v>
      </c>
      <c r="AJ372" s="335">
        <f>+AJ360/$AJ$364</f>
        <v>0.59206181270238212</v>
      </c>
      <c r="AK372" s="414">
        <f>+AK360/$AK$364</f>
        <v>0.5975645988622561</v>
      </c>
      <c r="AL372" s="237">
        <f>+AL360/$AL$364</f>
        <v>0.59420223623678514</v>
      </c>
      <c r="AM372" s="335">
        <f>+AM360/$AM$364</f>
        <v>0.59394849496828561</v>
      </c>
      <c r="AN372" s="335">
        <f>+AN360/$AN$364</f>
        <v>0.5943759147797093</v>
      </c>
      <c r="AO372" s="414">
        <f>+AO360/$AO$364</f>
        <v>0.5978716737909272</v>
      </c>
      <c r="AP372" s="237">
        <f>+AP360/$AP$364</f>
        <v>0.59601702381100097</v>
      </c>
      <c r="AQ372" s="335">
        <f>+AQ360/$AQ$364</f>
        <v>0.59086897852650455</v>
      </c>
      <c r="AR372" s="704" t="e">
        <f>+AR360/$AR$364</f>
        <v>#DIV/0!</v>
      </c>
      <c r="AS372" s="705" t="e">
        <f>+AS360/$AS$364</f>
        <v>#DIV/0!</v>
      </c>
    </row>
    <row r="373" spans="1:45" s="208" customFormat="1" x14ac:dyDescent="0.25">
      <c r="B373" s="227" t="s">
        <v>146</v>
      </c>
      <c r="F373" s="237">
        <f>+F361/$F$364</f>
        <v>0.30920290322259503</v>
      </c>
      <c r="G373" s="335">
        <f>+G361/$G$364</f>
        <v>0.31177605956214066</v>
      </c>
      <c r="H373" s="335">
        <f>+H361/$H$364</f>
        <v>0.31411206751893733</v>
      </c>
      <c r="I373" s="335">
        <f>+I361/$I$364</f>
        <v>0.31133878436968204</v>
      </c>
      <c r="J373" s="237">
        <f>+J361/$J$364</f>
        <v>0.31065998326750449</v>
      </c>
      <c r="K373" s="335">
        <f>+K361/$K$364</f>
        <v>0.31011031781863457</v>
      </c>
      <c r="L373" s="335">
        <f>+L361/$L$364</f>
        <v>0.31001175142369802</v>
      </c>
      <c r="M373" s="335">
        <f>+M361/$M$364</f>
        <v>0.3090975446279004</v>
      </c>
      <c r="N373" s="237">
        <f>+N361/$N$364</f>
        <v>0.31206297366790803</v>
      </c>
      <c r="O373" s="335">
        <f>+O361/$O$364</f>
        <v>0.30655163215819964</v>
      </c>
      <c r="P373" s="335">
        <f>+P361/$P$364</f>
        <v>0.3005502143669958</v>
      </c>
      <c r="Q373" s="335">
        <f t="shared" si="741"/>
        <v>0.30138606343546537</v>
      </c>
      <c r="R373" s="237">
        <v>0.3</v>
      </c>
      <c r="S373" s="335">
        <v>0.3</v>
      </c>
      <c r="T373" s="335">
        <f>+T361/$T$364</f>
        <v>0.29728809538128215</v>
      </c>
      <c r="U373" s="335">
        <f t="shared" si="742"/>
        <v>0.30067988691635233</v>
      </c>
      <c r="V373" s="237">
        <v>0.3</v>
      </c>
      <c r="W373" s="335">
        <f>+W361/$W$364</f>
        <v>0.29833189679643668</v>
      </c>
      <c r="X373" s="335">
        <f t="shared" si="743"/>
        <v>0.29984693772288334</v>
      </c>
      <c r="Y373" s="414">
        <f>+Y361/$Y$364</f>
        <v>0.29845952515106505</v>
      </c>
      <c r="Z373" s="237">
        <f>+Z361/$Z$364</f>
        <v>0.29958974217855583</v>
      </c>
      <c r="AA373" s="335">
        <f>+AA361/$AA$364</f>
        <v>0.29884943840017558</v>
      </c>
      <c r="AB373" s="335">
        <f>+AB361/$AB$364</f>
        <v>0.299369043063484</v>
      </c>
      <c r="AC373" s="414">
        <f>+AC361/$AC$364</f>
        <v>0.29643270570457469</v>
      </c>
      <c r="AD373" s="237">
        <f>+AD361/$AD$364</f>
        <v>0.29644611455564668</v>
      </c>
      <c r="AE373" s="335">
        <f>+AE361/$AE$364</f>
        <v>0.29747159703746318</v>
      </c>
      <c r="AF373" s="335">
        <f t="shared" ref="AF373:AF374" si="744">+AF361/$AF$364</f>
        <v>0.29839871308260874</v>
      </c>
      <c r="AG373" s="414">
        <f t="shared" ref="AG373:AG374" si="745">+AG361/$AG$364</f>
        <v>0.29696979229393416</v>
      </c>
      <c r="AH373" s="237">
        <f>+AH361/$AH$364</f>
        <v>0.30123060460139112</v>
      </c>
      <c r="AI373" s="335">
        <f>+AI361/$AI$364</f>
        <v>0.29871163368471904</v>
      </c>
      <c r="AJ373" s="335">
        <f>+AJ361/$AJ$364</f>
        <v>0.29995631752749191</v>
      </c>
      <c r="AK373" s="414">
        <f>+AK361/$AK$364</f>
        <v>0.2959292012198852</v>
      </c>
      <c r="AL373" s="237">
        <f>+AL361/$AL$364</f>
        <v>0.29855842955651019</v>
      </c>
      <c r="AM373" s="335">
        <f>+AM361/$AM$364</f>
        <v>0.29850729542551047</v>
      </c>
      <c r="AN373" s="335">
        <f>+AN361/$AN$364</f>
        <v>0.29866432378701191</v>
      </c>
      <c r="AO373" s="414">
        <f>+AO361/$AO$364</f>
        <v>0.29641474386231903</v>
      </c>
      <c r="AP373" s="237">
        <f>+AP361/$AP$364</f>
        <v>0.29728884642586823</v>
      </c>
      <c r="AQ373" s="335">
        <f>+AQ361/$AQ$364</f>
        <v>0.30117522913933259</v>
      </c>
      <c r="AR373" s="704" t="e">
        <f>+AR361/$AR$364</f>
        <v>#DIV/0!</v>
      </c>
      <c r="AS373" s="705" t="e">
        <f>+AS361/$AS$364</f>
        <v>#DIV/0!</v>
      </c>
    </row>
    <row r="374" spans="1:45" s="208" customFormat="1" x14ac:dyDescent="0.25">
      <c r="B374" s="227" t="s">
        <v>147</v>
      </c>
      <c r="F374" s="237">
        <f>+F362/$F$364</f>
        <v>6.977226510966808E-2</v>
      </c>
      <c r="G374" s="335">
        <f>+G362/$G$364</f>
        <v>9.5468491659671556E-2</v>
      </c>
      <c r="H374" s="335">
        <f>+H362/$H$364</f>
        <v>8.4509317762412925E-2</v>
      </c>
      <c r="I374" s="335">
        <f>+I362/$I$364</f>
        <v>8.4926112830731149E-2</v>
      </c>
      <c r="J374" s="237">
        <f>+J362/$J$364</f>
        <v>8.4403384209046334E-2</v>
      </c>
      <c r="K374" s="335">
        <f>+K362/$K$364</f>
        <v>7.1119272120334504E-2</v>
      </c>
      <c r="L374" s="335">
        <f>+L362/$L$364</f>
        <v>8.4618441175078718E-2</v>
      </c>
      <c r="M374" s="335">
        <f>+M362/$M$364</f>
        <v>8.471979275393679E-2</v>
      </c>
      <c r="N374" s="237">
        <f>+N362/$N$364</f>
        <v>8.5512136370681557E-2</v>
      </c>
      <c r="O374" s="335">
        <f>+O362/$O$364</f>
        <v>8.7375183042316645E-2</v>
      </c>
      <c r="P374" s="335">
        <f>+P362/$P$364</f>
        <v>8.8848317017647865E-2</v>
      </c>
      <c r="Q374" s="335">
        <f t="shared" si="741"/>
        <v>8.8059676637329679E-2</v>
      </c>
      <c r="R374" s="237">
        <v>0.08</v>
      </c>
      <c r="S374" s="335">
        <v>0.08</v>
      </c>
      <c r="T374" s="335">
        <f>+T362/$T$364</f>
        <v>8.3232371809515121E-2</v>
      </c>
      <c r="U374" s="335">
        <f t="shared" si="742"/>
        <v>8.5067336912686059E-2</v>
      </c>
      <c r="V374" s="237">
        <v>0.08</v>
      </c>
      <c r="W374" s="335">
        <f>+W362/$W$364</f>
        <v>8.819682792008382E-2</v>
      </c>
      <c r="X374" s="335">
        <f t="shared" si="743"/>
        <v>8.6482911484303135E-2</v>
      </c>
      <c r="Y374" s="414">
        <f>+Y362/$Y$364</f>
        <v>8.7717013960604953E-2</v>
      </c>
      <c r="Z374" s="237">
        <f>+Z362/$Z$364</f>
        <v>8.7152861959890846E-2</v>
      </c>
      <c r="AA374" s="335">
        <f>+AA362/$AA$364</f>
        <v>8.8584120599137367E-2</v>
      </c>
      <c r="AB374" s="335">
        <f>+AB362/$AB$364</f>
        <v>8.9774569252074915E-2</v>
      </c>
      <c r="AC374" s="414">
        <f>+AC362/$AC$364</f>
        <v>8.892703902327441E-2</v>
      </c>
      <c r="AD374" s="237">
        <f>+AD362/$AD$364</f>
        <v>8.8305891270476264E-2</v>
      </c>
      <c r="AE374" s="335">
        <f>+AE362/$AE$364</f>
        <v>8.909407133098439E-2</v>
      </c>
      <c r="AF374" s="335">
        <f t="shared" si="744"/>
        <v>9.0107348256247957E-2</v>
      </c>
      <c r="AG374" s="414">
        <f t="shared" si="745"/>
        <v>8.8973872715997229E-2</v>
      </c>
      <c r="AH374" s="237">
        <f>+AH362/$AH$364</f>
        <v>8.9812926891578576E-2</v>
      </c>
      <c r="AI374" s="335">
        <f>+AI362/$AI$364</f>
        <v>9.0573834129845932E-2</v>
      </c>
      <c r="AJ374" s="335">
        <f>+AJ362/$AJ$364</f>
        <v>9.1482719374178442E-2</v>
      </c>
      <c r="AK374" s="414">
        <f>+AK362/$AK$364</f>
        <v>8.8952873633527621E-2</v>
      </c>
      <c r="AL374" s="237">
        <f>+AL362/$AL$364</f>
        <v>8.9149884735297405E-2</v>
      </c>
      <c r="AM374" s="335">
        <f>+AM362/$AM$364</f>
        <v>9.0270524687899228E-2</v>
      </c>
      <c r="AN374" s="335">
        <f>+AN362/$AN$364</f>
        <v>9.121185319693495E-2</v>
      </c>
      <c r="AO374" s="414">
        <f>+AO362/$AO$364</f>
        <v>8.8767540227827138E-2</v>
      </c>
      <c r="AP374" s="237">
        <f>+AP362/$AP$364</f>
        <v>8.9494124799920582E-2</v>
      </c>
      <c r="AQ374" s="335">
        <f>+AQ362/$AQ$364</f>
        <v>9.2145995489585422E-2</v>
      </c>
      <c r="AR374" s="704" t="e">
        <f>+AR362/$AR$364</f>
        <v>#DIV/0!</v>
      </c>
      <c r="AS374" s="705" t="e">
        <f>+AS362/$AS$364</f>
        <v>#DIV/0!</v>
      </c>
    </row>
    <row r="375" spans="1:45" s="208" customFormat="1" x14ac:dyDescent="0.25">
      <c r="B375" s="227" t="s">
        <v>148</v>
      </c>
      <c r="F375" s="237">
        <f>+F363/$F$364</f>
        <v>3.4793283220186058E-2</v>
      </c>
      <c r="G375" s="335">
        <f>+G363/$G$364</f>
        <v>1.0610885044613652E-2</v>
      </c>
      <c r="H375" s="335">
        <f>+H363/$H$364</f>
        <v>2.2942581842939559E-2</v>
      </c>
      <c r="I375" s="335">
        <f>+I363/$I$364</f>
        <v>2.2806587954645977E-2</v>
      </c>
      <c r="J375" s="237">
        <f>+J363/$J$364</f>
        <v>2.3374315712041294E-2</v>
      </c>
      <c r="K375" s="335">
        <f>+K363/$K$364</f>
        <v>3.6107880161095764E-2</v>
      </c>
      <c r="L375" s="335">
        <f>+L363/$L$364</f>
        <v>2.3086988999599076E-2</v>
      </c>
      <c r="M375" s="335">
        <f>+M363/$M$364</f>
        <v>2.2088995852865168E-2</v>
      </c>
      <c r="N375" s="237">
        <f>+N363/$N$364</f>
        <v>2.1382254833775066E-2</v>
      </c>
      <c r="O375" s="335">
        <f>+O363/$O$364</f>
        <v>1.9354034390483995E-2</v>
      </c>
      <c r="P375" s="335">
        <f>+P363/$P$364</f>
        <v>1.7150228312582345E-2</v>
      </c>
      <c r="Q375" s="335">
        <f t="shared" si="741"/>
        <v>1.8323202274034646E-2</v>
      </c>
      <c r="R375" s="237">
        <f>+R363/$R$364</f>
        <v>1.9018250679727254E-2</v>
      </c>
      <c r="S375" s="335">
        <v>0.02</v>
      </c>
      <c r="T375" s="335">
        <f>+T363/$T$364</f>
        <v>2.2660579685252025E-2</v>
      </c>
      <c r="U375" s="335">
        <f t="shared" si="742"/>
        <v>2.0577883510807311E-2</v>
      </c>
      <c r="V375" s="237">
        <v>0.02</v>
      </c>
      <c r="W375" s="335">
        <f>+W363/$W$364</f>
        <v>2.4637553999163883E-2</v>
      </c>
      <c r="X375" s="335">
        <f t="shared" si="743"/>
        <v>2.1748312208117983E-2</v>
      </c>
      <c r="Y375" s="414">
        <f>+Y363/$Y$364</f>
        <v>2.2244547146439565E-2</v>
      </c>
      <c r="Z375" s="237">
        <f>+Z363/$Z$364</f>
        <v>1.9243497292545091E-2</v>
      </c>
      <c r="AA375" s="335">
        <f>+AA363/$AA$364</f>
        <v>1.8573358572515433E-2</v>
      </c>
      <c r="AB375" s="335">
        <f>+AB363/$AB$364</f>
        <v>1.830501009287713E-2</v>
      </c>
      <c r="AC375" s="414">
        <f>+AC363/$AC$364</f>
        <v>1.8595494843955424E-2</v>
      </c>
      <c r="AD375" s="237">
        <f>+AD363/$AD$364</f>
        <v>1.8508839506662142E-2</v>
      </c>
      <c r="AE375" s="335">
        <f>+AE363/$AE$364</f>
        <v>1.7583321348960956E-2</v>
      </c>
      <c r="AF375" s="335">
        <f>+AF363/$AF$364</f>
        <v>1.6898150581951616E-2</v>
      </c>
      <c r="AG375" s="414">
        <f>+AG363/$AG$364</f>
        <v>1.7481103331745504E-2</v>
      </c>
      <c r="AH375" s="237">
        <f>+AH363/$AH$364</f>
        <v>1.7499843342539973E-2</v>
      </c>
      <c r="AI375" s="335">
        <f>+AI363/$AI$364</f>
        <v>1.6472283086903263E-2</v>
      </c>
      <c r="AJ375" s="335">
        <f>+AJ363/$AJ$364</f>
        <v>1.649915039594755E-2</v>
      </c>
      <c r="AK375" s="414">
        <f>+AK363/$AK$364</f>
        <v>1.7553326284331115E-2</v>
      </c>
      <c r="AL375" s="237">
        <f>+AL363/$AL$364</f>
        <v>1.8089449471407244E-2</v>
      </c>
      <c r="AM375" s="335">
        <f>+AM363/$AM$364</f>
        <v>1.7273684918304683E-2</v>
      </c>
      <c r="AN375" s="335">
        <f>+AN363/$AN$364</f>
        <v>1.5747908236343856E-2</v>
      </c>
      <c r="AO375" s="414">
        <f>+AO363/$AO$364</f>
        <v>1.6946042118926662E-2</v>
      </c>
      <c r="AP375" s="237">
        <f>+AP363/$AP$364</f>
        <v>1.7200004963210204E-2</v>
      </c>
      <c r="AQ375" s="335">
        <f>+AQ363/$AQ$364</f>
        <v>1.5809796844577464E-2</v>
      </c>
      <c r="AR375" s="704" t="e">
        <f>+AR363/$AR$364</f>
        <v>#DIV/0!</v>
      </c>
      <c r="AS375" s="705" t="e">
        <f>+AS363/$AS$364</f>
        <v>#DIV/0!</v>
      </c>
    </row>
    <row r="376" spans="1:45" s="208" customFormat="1" x14ac:dyDescent="0.25">
      <c r="B376" s="332" t="s">
        <v>149</v>
      </c>
      <c r="C376" s="336"/>
      <c r="D376" s="336"/>
      <c r="E376" s="336"/>
      <c r="F376" s="337">
        <f t="shared" ref="F376:M376" si="746">SUM(F372:F375)</f>
        <v>0.99999651222743147</v>
      </c>
      <c r="G376" s="338">
        <f t="shared" si="746"/>
        <v>1</v>
      </c>
      <c r="H376" s="338">
        <f t="shared" si="746"/>
        <v>1</v>
      </c>
      <c r="I376" s="338">
        <f t="shared" si="746"/>
        <v>1.0000000000000002</v>
      </c>
      <c r="J376" s="337">
        <f t="shared" si="746"/>
        <v>1.0000017470670204</v>
      </c>
      <c r="K376" s="338">
        <f t="shared" si="746"/>
        <v>0.99999999999999978</v>
      </c>
      <c r="L376" s="338">
        <f t="shared" si="746"/>
        <v>1.0000000000000002</v>
      </c>
      <c r="M376" s="338">
        <f t="shared" si="746"/>
        <v>0.9999966808296572</v>
      </c>
      <c r="N376" s="337">
        <f>+N364/$N$364</f>
        <v>1</v>
      </c>
      <c r="O376" s="338">
        <f t="shared" ref="O376:T376" si="747">SUM(O372:O375)</f>
        <v>1</v>
      </c>
      <c r="P376" s="338">
        <f t="shared" si="747"/>
        <v>1</v>
      </c>
      <c r="Q376" s="338">
        <f t="shared" si="747"/>
        <v>1</v>
      </c>
      <c r="R376" s="337">
        <f t="shared" si="747"/>
        <v>0.99901825067972716</v>
      </c>
      <c r="S376" s="338">
        <f t="shared" si="747"/>
        <v>0.99999999999999989</v>
      </c>
      <c r="T376" s="338">
        <f t="shared" si="747"/>
        <v>1</v>
      </c>
      <c r="U376" s="338">
        <f t="shared" ref="U376:V376" si="748">SUM(U372:U375)</f>
        <v>1</v>
      </c>
      <c r="V376" s="337">
        <f t="shared" si="748"/>
        <v>0.99999999999999989</v>
      </c>
      <c r="W376" s="338">
        <f t="shared" ref="W376:X376" si="749">SUM(W372:W375)</f>
        <v>1</v>
      </c>
      <c r="X376" s="338">
        <f t="shared" si="749"/>
        <v>1</v>
      </c>
      <c r="Y376" s="481">
        <f t="shared" ref="Y376:AB376" si="750">SUM(Y372:Y375)</f>
        <v>0.99999999999999989</v>
      </c>
      <c r="Z376" s="337">
        <f t="shared" ref="Z376" si="751">SUM(Z372:Z375)</f>
        <v>0.99999999999999978</v>
      </c>
      <c r="AA376" s="338">
        <f t="shared" si="750"/>
        <v>0.99999999999999978</v>
      </c>
      <c r="AB376" s="338">
        <f t="shared" si="750"/>
        <v>1</v>
      </c>
      <c r="AC376" s="481">
        <f t="shared" ref="AC376:AF376" si="752">SUM(AC372:AC375)</f>
        <v>0.99999999999999989</v>
      </c>
      <c r="AD376" s="337">
        <f t="shared" si="752"/>
        <v>1</v>
      </c>
      <c r="AE376" s="338">
        <f t="shared" ref="AE376" si="753">SUM(AE372:AE375)</f>
        <v>1</v>
      </c>
      <c r="AF376" s="338">
        <f t="shared" si="752"/>
        <v>1</v>
      </c>
      <c r="AG376" s="481">
        <f t="shared" ref="AG376:AJ376" si="754">SUM(AG372:AG375)</f>
        <v>0.99999999999999989</v>
      </c>
      <c r="AH376" s="337">
        <f t="shared" si="754"/>
        <v>1</v>
      </c>
      <c r="AI376" s="338">
        <f t="shared" si="754"/>
        <v>1</v>
      </c>
      <c r="AJ376" s="338">
        <f t="shared" si="754"/>
        <v>0.99999999999999989</v>
      </c>
      <c r="AK376" s="481">
        <f t="shared" ref="AK376:AL376" si="755">SUM(AK372:AK375)</f>
        <v>1</v>
      </c>
      <c r="AL376" s="337">
        <f t="shared" si="755"/>
        <v>1</v>
      </c>
      <c r="AM376" s="338">
        <f t="shared" ref="AM376:AN376" si="756">SUM(AM372:AM375)</f>
        <v>1</v>
      </c>
      <c r="AN376" s="338">
        <f t="shared" si="756"/>
        <v>1</v>
      </c>
      <c r="AO376" s="481">
        <f t="shared" ref="AO376:AR376" si="757">SUM(AO372:AO375)</f>
        <v>1</v>
      </c>
      <c r="AP376" s="337">
        <f t="shared" si="757"/>
        <v>1</v>
      </c>
      <c r="AQ376" s="338">
        <f t="shared" si="757"/>
        <v>1</v>
      </c>
      <c r="AR376" s="338" t="e">
        <f t="shared" si="757"/>
        <v>#DIV/0!</v>
      </c>
      <c r="AS376" s="481" t="e">
        <f t="shared" ref="AS376" si="758">SUM(AS372:AS375)</f>
        <v>#DIV/0!</v>
      </c>
    </row>
    <row r="377" spans="1:45" s="208" customFormat="1" x14ac:dyDescent="0.25"/>
    <row r="378" spans="1:45" s="339" customFormat="1" x14ac:dyDescent="0.25">
      <c r="B378" s="339" t="s">
        <v>154</v>
      </c>
      <c r="F378" s="340">
        <f t="shared" ref="F378:N378" si="759">+F364-F269</f>
        <v>-5.7270819728728384E-2</v>
      </c>
      <c r="G378" s="340">
        <f t="shared" si="759"/>
        <v>0.3842715957434848</v>
      </c>
      <c r="H378" s="340">
        <f t="shared" si="759"/>
        <v>0.29518958897097036</v>
      </c>
      <c r="I378" s="340">
        <f t="shared" si="759"/>
        <v>-0.16762432386167347</v>
      </c>
      <c r="J378" s="340">
        <f t="shared" si="759"/>
        <v>0.44341368891764432</v>
      </c>
      <c r="K378" s="340">
        <f t="shared" si="759"/>
        <v>-0.26024600135860965</v>
      </c>
      <c r="L378" s="340">
        <f t="shared" si="759"/>
        <v>0.2811032590107061</v>
      </c>
      <c r="M378" s="340">
        <f t="shared" si="759"/>
        <v>0.10819420247571543</v>
      </c>
      <c r="N378" s="340">
        <f t="shared" si="759"/>
        <v>-0.27364839985966682</v>
      </c>
      <c r="O378" s="340">
        <f>+O364-O269</f>
        <v>-0.17350363003788516</v>
      </c>
    </row>
    <row r="379" spans="1:45" s="208" customFormat="1" ht="17.25" x14ac:dyDescent="0.25">
      <c r="A379" s="341">
        <v>1</v>
      </c>
      <c r="B379" s="342" t="s">
        <v>193</v>
      </c>
    </row>
    <row r="380" spans="1:45" s="208" customFormat="1" x14ac:dyDescent="0.25">
      <c r="B380" s="343" t="s">
        <v>183</v>
      </c>
      <c r="F380" s="344">
        <v>12790</v>
      </c>
    </row>
    <row r="381" spans="1:45" s="208" customFormat="1" x14ac:dyDescent="0.25">
      <c r="B381" s="343" t="s">
        <v>184</v>
      </c>
      <c r="F381" s="344">
        <v>7410</v>
      </c>
    </row>
    <row r="382" spans="1:45" s="208" customFormat="1" x14ac:dyDescent="0.25">
      <c r="B382" s="343" t="s">
        <v>185</v>
      </c>
      <c r="C382" s="345"/>
      <c r="D382" s="345"/>
      <c r="E382" s="345"/>
      <c r="F382" s="346">
        <v>7967</v>
      </c>
      <c r="G382" s="345"/>
    </row>
    <row r="383" spans="1:45" s="208" customFormat="1" x14ac:dyDescent="0.25">
      <c r="B383" s="343" t="s">
        <v>186</v>
      </c>
      <c r="F383" s="344">
        <f>13083+5866</f>
        <v>18949</v>
      </c>
    </row>
    <row r="384" spans="1:45" s="208" customFormat="1" x14ac:dyDescent="0.25">
      <c r="B384" s="343" t="s">
        <v>187</v>
      </c>
      <c r="F384" s="344">
        <v>10781</v>
      </c>
    </row>
    <row r="385" spans="2:6" s="208" customFormat="1" x14ac:dyDescent="0.25">
      <c r="B385" s="343" t="s">
        <v>188</v>
      </c>
      <c r="F385" s="344">
        <v>12439</v>
      </c>
    </row>
    <row r="386" spans="2:6" s="208" customFormat="1" x14ac:dyDescent="0.25">
      <c r="B386" s="343" t="s">
        <v>189</v>
      </c>
      <c r="F386" s="344">
        <v>19125</v>
      </c>
    </row>
    <row r="387" spans="2:6" s="208" customFormat="1" x14ac:dyDescent="0.25">
      <c r="B387" s="343" t="s">
        <v>190</v>
      </c>
      <c r="F387" s="344">
        <v>15702</v>
      </c>
    </row>
    <row r="388" spans="2:6" s="208" customFormat="1" x14ac:dyDescent="0.25">
      <c r="B388" s="343" t="s">
        <v>194</v>
      </c>
      <c r="F388" s="344">
        <v>13703</v>
      </c>
    </row>
    <row r="389" spans="2:6" s="208" customFormat="1" x14ac:dyDescent="0.25">
      <c r="B389" s="343" t="s">
        <v>195</v>
      </c>
      <c r="F389" s="344">
        <v>12002</v>
      </c>
    </row>
    <row r="390" spans="2:6" s="208" customFormat="1" x14ac:dyDescent="0.25">
      <c r="B390" s="343" t="s">
        <v>196</v>
      </c>
      <c r="F390" s="344">
        <v>10692</v>
      </c>
    </row>
    <row r="391" spans="2:6" s="208" customFormat="1" x14ac:dyDescent="0.25">
      <c r="B391" s="343" t="s">
        <v>198</v>
      </c>
      <c r="F391" s="344">
        <v>14654</v>
      </c>
    </row>
    <row r="392" spans="2:6" s="208" customFormat="1" x14ac:dyDescent="0.25">
      <c r="B392" s="343" t="s">
        <v>199</v>
      </c>
      <c r="F392" s="344">
        <v>16720</v>
      </c>
    </row>
    <row r="393" spans="2:6" s="208" customFormat="1" x14ac:dyDescent="0.25">
      <c r="B393" s="343" t="s">
        <v>200</v>
      </c>
      <c r="F393" s="344">
        <v>21278</v>
      </c>
    </row>
    <row r="394" spans="2:6" s="208" customFormat="1" x14ac:dyDescent="0.25">
      <c r="B394" s="343" t="s">
        <v>223</v>
      </c>
      <c r="F394" s="344">
        <v>23908</v>
      </c>
    </row>
    <row r="395" spans="2:6" s="208" customFormat="1" x14ac:dyDescent="0.25">
      <c r="B395" s="343" t="s">
        <v>236</v>
      </c>
      <c r="F395" s="344">
        <v>25633</v>
      </c>
    </row>
    <row r="396" spans="2:6" s="208" customFormat="1" x14ac:dyDescent="0.25">
      <c r="B396" s="343" t="s">
        <v>237</v>
      </c>
      <c r="F396" s="344">
        <v>23995</v>
      </c>
    </row>
    <row r="397" spans="2:6" s="208" customFormat="1" x14ac:dyDescent="0.25">
      <c r="B397" s="343" t="s">
        <v>239</v>
      </c>
      <c r="F397" s="344">
        <v>22867</v>
      </c>
    </row>
    <row r="398" spans="2:6" s="208" customFormat="1" x14ac:dyDescent="0.25">
      <c r="B398" s="343" t="s">
        <v>241</v>
      </c>
      <c r="F398" s="344">
        <v>25605</v>
      </c>
    </row>
    <row r="399" spans="2:6" s="208" customFormat="1" x14ac:dyDescent="0.25">
      <c r="B399" s="343" t="s">
        <v>252</v>
      </c>
      <c r="F399" s="344">
        <v>24541</v>
      </c>
    </row>
    <row r="400" spans="2:6" s="208" customFormat="1" x14ac:dyDescent="0.25">
      <c r="B400" s="343" t="s">
        <v>253</v>
      </c>
      <c r="F400" s="344">
        <v>25118</v>
      </c>
    </row>
    <row r="401" spans="2:6" s="208" customFormat="1" x14ac:dyDescent="0.25">
      <c r="B401" s="343" t="s">
        <v>254</v>
      </c>
      <c r="F401" s="344">
        <v>21200</v>
      </c>
    </row>
    <row r="402" spans="2:6" s="208" customFormat="1" x14ac:dyDescent="0.25">
      <c r="B402" s="343" t="s">
        <v>257</v>
      </c>
      <c r="F402" s="344">
        <v>17753</v>
      </c>
    </row>
    <row r="403" spans="2:6" s="208" customFormat="1" x14ac:dyDescent="0.25">
      <c r="B403" s="343" t="s">
        <v>263</v>
      </c>
      <c r="F403" s="344">
        <v>18041</v>
      </c>
    </row>
    <row r="404" spans="2:6" s="208" customFormat="1" x14ac:dyDescent="0.25">
      <c r="B404" s="343" t="s">
        <v>264</v>
      </c>
      <c r="F404" s="344">
        <v>17189</v>
      </c>
    </row>
    <row r="405" spans="2:6" s="208" customFormat="1" x14ac:dyDescent="0.25">
      <c r="B405" s="343" t="s">
        <v>266</v>
      </c>
      <c r="F405" s="344">
        <v>20167</v>
      </c>
    </row>
    <row r="406" spans="2:6" s="208" customFormat="1" x14ac:dyDescent="0.25">
      <c r="B406" s="343" t="s">
        <v>267</v>
      </c>
      <c r="F406" s="344">
        <v>19724</v>
      </c>
    </row>
    <row r="407" spans="2:6" s="208" customFormat="1" x14ac:dyDescent="0.25">
      <c r="B407" s="343" t="s">
        <v>277</v>
      </c>
      <c r="F407" s="344">
        <v>21936</v>
      </c>
    </row>
    <row r="408" spans="2:6" s="208" customFormat="1" x14ac:dyDescent="0.25"/>
    <row r="409" spans="2:6" s="208" customFormat="1" x14ac:dyDescent="0.25"/>
    <row r="410" spans="2:6" s="208" customFormat="1" x14ac:dyDescent="0.25"/>
    <row r="411" spans="2:6" s="208" customFormat="1" x14ac:dyDescent="0.25"/>
    <row r="412" spans="2:6" s="208" customFormat="1" x14ac:dyDescent="0.25"/>
    <row r="413" spans="2:6" s="208" customFormat="1" x14ac:dyDescent="0.25"/>
    <row r="414" spans="2:6" s="208" customFormat="1" x14ac:dyDescent="0.25"/>
    <row r="415" spans="2:6" s="208" customFormat="1" x14ac:dyDescent="0.25"/>
    <row r="416" spans="2:6" s="208" customFormat="1" x14ac:dyDescent="0.25"/>
    <row r="417" s="208" customFormat="1" x14ac:dyDescent="0.25"/>
    <row r="418" s="208" customFormat="1" x14ac:dyDescent="0.25"/>
    <row r="419" s="208" customFormat="1" x14ac:dyDescent="0.25"/>
    <row r="420" s="208" customFormat="1" x14ac:dyDescent="0.25"/>
    <row r="421" s="208" customFormat="1" x14ac:dyDescent="0.25"/>
    <row r="422" s="208" customFormat="1" x14ac:dyDescent="0.25"/>
    <row r="423" s="208" customFormat="1" x14ac:dyDescent="0.25"/>
    <row r="424" s="208" customFormat="1" x14ac:dyDescent="0.25"/>
    <row r="425" s="208" customFormat="1" x14ac:dyDescent="0.25"/>
    <row r="426" s="208" customFormat="1" x14ac:dyDescent="0.25"/>
    <row r="427" s="208" customFormat="1" x14ac:dyDescent="0.25"/>
    <row r="428" s="208" customFormat="1" x14ac:dyDescent="0.25"/>
    <row r="429" s="208" customFormat="1" x14ac:dyDescent="0.25"/>
    <row r="430" s="208" customFormat="1" x14ac:dyDescent="0.25"/>
    <row r="431" s="208" customFormat="1" x14ac:dyDescent="0.25"/>
    <row r="432" s="208" customFormat="1" x14ac:dyDescent="0.25"/>
    <row r="433" s="208" customFormat="1" x14ac:dyDescent="0.25"/>
    <row r="434" s="208" customFormat="1" x14ac:dyDescent="0.25"/>
    <row r="435" s="208" customFormat="1" x14ac:dyDescent="0.25"/>
    <row r="436" s="208" customFormat="1" x14ac:dyDescent="0.25"/>
    <row r="437" s="208" customFormat="1" x14ac:dyDescent="0.25"/>
    <row r="438" s="208" customFormat="1" x14ac:dyDescent="0.25"/>
    <row r="439" s="208" customFormat="1" x14ac:dyDescent="0.25"/>
    <row r="440" s="208" customFormat="1" x14ac:dyDescent="0.25"/>
    <row r="441" s="208" customFormat="1" x14ac:dyDescent="0.25"/>
    <row r="442" s="208" customFormat="1" x14ac:dyDescent="0.25"/>
    <row r="443" s="208" customFormat="1" x14ac:dyDescent="0.25"/>
    <row r="444" s="208" customFormat="1" x14ac:dyDescent="0.25"/>
    <row r="445" s="208" customFormat="1" x14ac:dyDescent="0.25"/>
    <row r="446" s="208" customFormat="1" x14ac:dyDescent="0.25"/>
    <row r="447" s="208" customFormat="1" x14ac:dyDescent="0.25"/>
    <row r="448" s="208" customFormat="1" x14ac:dyDescent="0.25"/>
    <row r="449" s="208" customFormat="1" x14ac:dyDescent="0.25"/>
    <row r="450" s="208" customFormat="1" x14ac:dyDescent="0.25"/>
    <row r="451" s="208" customFormat="1" x14ac:dyDescent="0.25"/>
    <row r="452" s="208" customFormat="1" x14ac:dyDescent="0.25"/>
    <row r="453" s="208" customFormat="1" x14ac:dyDescent="0.25"/>
    <row r="454" s="208" customFormat="1" x14ac:dyDescent="0.25"/>
    <row r="455" s="208" customFormat="1" x14ac:dyDescent="0.25"/>
    <row r="456" s="208" customFormat="1" x14ac:dyDescent="0.25"/>
    <row r="457" s="208" customFormat="1" x14ac:dyDescent="0.25"/>
    <row r="458" s="208" customFormat="1" x14ac:dyDescent="0.25"/>
    <row r="459" s="208" customFormat="1" x14ac:dyDescent="0.25"/>
    <row r="460" s="208" customFormat="1" x14ac:dyDescent="0.25"/>
    <row r="461" s="208" customFormat="1" x14ac:dyDescent="0.25"/>
    <row r="462" s="208" customFormat="1" x14ac:dyDescent="0.25"/>
    <row r="463" s="208" customFormat="1" x14ac:dyDescent="0.25"/>
    <row r="464" s="208" customFormat="1" x14ac:dyDescent="0.25"/>
    <row r="465" s="208" customFormat="1" x14ac:dyDescent="0.25"/>
    <row r="466" s="208" customFormat="1" x14ac:dyDescent="0.25"/>
    <row r="467" s="208" customFormat="1" x14ac:dyDescent="0.25"/>
    <row r="468" s="208" customFormat="1" x14ac:dyDescent="0.25"/>
    <row r="469" s="208" customFormat="1" x14ac:dyDescent="0.25"/>
    <row r="470" s="208" customFormat="1" x14ac:dyDescent="0.25"/>
    <row r="471" s="208" customFormat="1" x14ac:dyDescent="0.25"/>
    <row r="472" s="208" customFormat="1" x14ac:dyDescent="0.25"/>
    <row r="473" s="208" customFormat="1" x14ac:dyDescent="0.25"/>
    <row r="474" s="208" customFormat="1" x14ac:dyDescent="0.25"/>
    <row r="475" s="208" customFormat="1" x14ac:dyDescent="0.25"/>
    <row r="476" s="208" customFormat="1" x14ac:dyDescent="0.25"/>
    <row r="477" s="208" customFormat="1" x14ac:dyDescent="0.25"/>
    <row r="478" s="208" customFormat="1" x14ac:dyDescent="0.25"/>
    <row r="479" s="208" customFormat="1" x14ac:dyDescent="0.25"/>
    <row r="480" s="208" customFormat="1" x14ac:dyDescent="0.25"/>
    <row r="481" s="208" customFormat="1" x14ac:dyDescent="0.25"/>
    <row r="482" s="208" customFormat="1" x14ac:dyDescent="0.25"/>
    <row r="483" s="208" customFormat="1" x14ac:dyDescent="0.25"/>
    <row r="484" s="208" customFormat="1" x14ac:dyDescent="0.25"/>
    <row r="485" s="208" customFormat="1" x14ac:dyDescent="0.25"/>
    <row r="486" s="208" customFormat="1" x14ac:dyDescent="0.25"/>
    <row r="487" s="208" customFormat="1" x14ac:dyDescent="0.25"/>
    <row r="488" s="208" customFormat="1" x14ac:dyDescent="0.25"/>
    <row r="489" s="208" customFormat="1" x14ac:dyDescent="0.25"/>
    <row r="490" s="208" customFormat="1" x14ac:dyDescent="0.25"/>
    <row r="491" s="208" customFormat="1" x14ac:dyDescent="0.25"/>
    <row r="492" s="208" customFormat="1" x14ac:dyDescent="0.25"/>
    <row r="493" s="208" customFormat="1" x14ac:dyDescent="0.25"/>
    <row r="494" s="208" customFormat="1" x14ac:dyDescent="0.25"/>
    <row r="495" s="208" customFormat="1" x14ac:dyDescent="0.25"/>
    <row r="496" s="208" customFormat="1" x14ac:dyDescent="0.25"/>
    <row r="497" s="208" customFormat="1" x14ac:dyDescent="0.25"/>
    <row r="498" s="208" customFormat="1" x14ac:dyDescent="0.25"/>
    <row r="499" s="208" customFormat="1" x14ac:dyDescent="0.25"/>
    <row r="500" s="208" customFormat="1" x14ac:dyDescent="0.25"/>
    <row r="501" s="208" customFormat="1" x14ac:dyDescent="0.25"/>
    <row r="502" s="208" customFormat="1" x14ac:dyDescent="0.25"/>
    <row r="503" s="208" customFormat="1" x14ac:dyDescent="0.25"/>
    <row r="504" s="208" customFormat="1" x14ac:dyDescent="0.25"/>
    <row r="505" s="208" customFormat="1" x14ac:dyDescent="0.25"/>
    <row r="506" s="208" customFormat="1" x14ac:dyDescent="0.25"/>
    <row r="507" s="208" customFormat="1" x14ac:dyDescent="0.25"/>
    <row r="508" s="208" customFormat="1" x14ac:dyDescent="0.25"/>
    <row r="509" s="208" customFormat="1" x14ac:dyDescent="0.25"/>
    <row r="510" s="208" customFormat="1" x14ac:dyDescent="0.25"/>
    <row r="511" s="208" customFormat="1" x14ac:dyDescent="0.25"/>
    <row r="512" s="208" customFormat="1" x14ac:dyDescent="0.25"/>
    <row r="513" s="208" customFormat="1" x14ac:dyDescent="0.25"/>
    <row r="514" s="208" customFormat="1" x14ac:dyDescent="0.25"/>
    <row r="515" s="208" customFormat="1" x14ac:dyDescent="0.25"/>
    <row r="516" s="208" customFormat="1" x14ac:dyDescent="0.25"/>
    <row r="517" s="208" customFormat="1" x14ac:dyDescent="0.25"/>
    <row r="518" s="208" customFormat="1" x14ac:dyDescent="0.25"/>
    <row r="519" s="208" customFormat="1" x14ac:dyDescent="0.25"/>
    <row r="520" s="208" customFormat="1" x14ac:dyDescent="0.25"/>
    <row r="521" s="208" customFormat="1" x14ac:dyDescent="0.25"/>
  </sheetData>
  <mergeCells count="7">
    <mergeCell ref="F286:I286"/>
    <mergeCell ref="AP2:AS2"/>
    <mergeCell ref="AP153:AS153"/>
    <mergeCell ref="AL2:AO2"/>
    <mergeCell ref="AL153:AO153"/>
    <mergeCell ref="B275:Q275"/>
    <mergeCell ref="F184:I184"/>
  </mergeCells>
  <phoneticPr fontId="34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rowBreaks count="7" manualBreakCount="7">
    <brk id="51" max="27" man="1"/>
    <brk id="101" max="27" man="1"/>
    <brk id="151" max="27" man="1"/>
    <brk id="202" max="27" man="1"/>
    <brk id="254" max="27" man="1"/>
    <brk id="306" max="27" man="1"/>
    <brk id="367" max="27" man="1"/>
  </rowBreaks>
  <ignoredErrors>
    <ignoredError sqref="AM246 AQ210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R291"/>
  <sheetViews>
    <sheetView zoomScaleNormal="100" workbookViewId="0">
      <selection activeCell="AM4" sqref="AM4"/>
    </sheetView>
  </sheetViews>
  <sheetFormatPr defaultRowHeight="15" x14ac:dyDescent="0.25"/>
  <cols>
    <col min="1" max="1" width="3" customWidth="1"/>
    <col min="2" max="2" width="39.42578125" customWidth="1"/>
    <col min="3" max="3" width="11.28515625" hidden="1" customWidth="1"/>
    <col min="4" max="6" width="12.28515625" hidden="1" customWidth="1"/>
    <col min="7" max="8" width="11.85546875" hidden="1" customWidth="1"/>
    <col min="9" max="9" width="12" hidden="1" customWidth="1"/>
    <col min="10" max="12" width="12.28515625" hidden="1" customWidth="1"/>
    <col min="13" max="15" width="11.85546875" hidden="1" customWidth="1"/>
    <col min="16" max="17" width="12.28515625" hidden="1" customWidth="1"/>
    <col min="18" max="18" width="12.28515625" style="208" hidden="1" customWidth="1"/>
    <col min="19" max="21" width="12" hidden="1" customWidth="1"/>
    <col min="22" max="22" width="12.28515625" style="208" hidden="1" customWidth="1"/>
    <col min="23" max="25" width="12" hidden="1" customWidth="1"/>
    <col min="26" max="26" width="12.28515625" style="208" customWidth="1"/>
    <col min="27" max="29" width="12" customWidth="1"/>
    <col min="30" max="30" width="12.28515625" style="208" bestFit="1" customWidth="1"/>
    <col min="31" max="33" width="12" customWidth="1"/>
    <col min="34" max="34" width="12.28515625" style="208" bestFit="1" customWidth="1"/>
    <col min="35" max="37" width="12" customWidth="1"/>
    <col min="38" max="38" width="12.28515625" style="208" bestFit="1" customWidth="1"/>
    <col min="39" max="39" width="12" customWidth="1"/>
    <col min="40" max="41" width="12" hidden="1" customWidth="1"/>
    <col min="42" max="174" width="9.140625" style="208"/>
  </cols>
  <sheetData>
    <row r="1" spans="1:45" ht="21" x14ac:dyDescent="0.35">
      <c r="A1" s="160"/>
      <c r="B1" s="161" t="s">
        <v>155</v>
      </c>
      <c r="C1" s="186">
        <v>42887</v>
      </c>
      <c r="D1" s="187">
        <v>42979</v>
      </c>
      <c r="E1" s="188">
        <v>43070</v>
      </c>
      <c r="F1" s="187">
        <v>43160</v>
      </c>
      <c r="G1" s="187">
        <v>43252</v>
      </c>
      <c r="H1" s="187">
        <v>43344</v>
      </c>
      <c r="I1" s="187">
        <v>43435</v>
      </c>
      <c r="J1" s="186">
        <v>43525</v>
      </c>
      <c r="K1" s="187">
        <v>43617</v>
      </c>
      <c r="L1" s="187">
        <v>43709</v>
      </c>
      <c r="M1" s="187">
        <v>43800</v>
      </c>
      <c r="N1" s="186">
        <v>43891</v>
      </c>
      <c r="O1" s="187">
        <v>43983</v>
      </c>
      <c r="P1" s="187">
        <v>44075</v>
      </c>
      <c r="Q1" s="188">
        <v>44166</v>
      </c>
      <c r="R1" s="187">
        <v>44256</v>
      </c>
      <c r="S1" s="187">
        <v>44348</v>
      </c>
      <c r="T1" s="187">
        <v>44440</v>
      </c>
      <c r="U1" s="188">
        <v>44531</v>
      </c>
      <c r="V1" s="187">
        <v>44621</v>
      </c>
      <c r="W1" s="187">
        <v>44713</v>
      </c>
      <c r="X1" s="187">
        <v>44805</v>
      </c>
      <c r="Y1" s="188">
        <v>44896</v>
      </c>
      <c r="Z1" s="187">
        <v>44986</v>
      </c>
      <c r="AA1" s="187">
        <v>45078</v>
      </c>
      <c r="AB1" s="187">
        <v>45170</v>
      </c>
      <c r="AC1" s="188">
        <v>45261</v>
      </c>
      <c r="AD1" s="187">
        <v>45352</v>
      </c>
      <c r="AE1" s="187">
        <v>45444</v>
      </c>
      <c r="AF1" s="187">
        <v>45536</v>
      </c>
      <c r="AG1" s="188">
        <v>45627</v>
      </c>
      <c r="AH1" s="187">
        <v>45717</v>
      </c>
      <c r="AI1" s="187">
        <v>45809</v>
      </c>
      <c r="AJ1" s="187">
        <v>45901</v>
      </c>
      <c r="AK1" s="188">
        <v>45992</v>
      </c>
      <c r="AL1" s="187">
        <v>46082</v>
      </c>
      <c r="AM1" s="187">
        <v>46174</v>
      </c>
      <c r="AN1" s="187">
        <v>46266</v>
      </c>
      <c r="AO1" s="188">
        <v>46357</v>
      </c>
    </row>
    <row r="2" spans="1:45" ht="21" x14ac:dyDescent="0.35">
      <c r="A2" s="160"/>
      <c r="B2" s="212" t="s">
        <v>156</v>
      </c>
      <c r="C2" s="229"/>
      <c r="D2" s="229"/>
      <c r="E2" s="230"/>
      <c r="F2" s="229"/>
      <c r="G2" s="136"/>
      <c r="H2" s="136"/>
      <c r="I2" s="136"/>
      <c r="J2" s="136"/>
      <c r="K2" s="136"/>
      <c r="L2" s="136"/>
      <c r="M2" s="136"/>
      <c r="N2" s="138"/>
      <c r="O2" s="136"/>
      <c r="P2" s="136"/>
      <c r="Q2" s="137"/>
      <c r="R2" s="136"/>
      <c r="S2" s="136"/>
      <c r="T2" s="136"/>
      <c r="U2" s="137"/>
      <c r="V2" s="136"/>
      <c r="W2" s="136"/>
      <c r="X2" s="136"/>
      <c r="Y2" s="137"/>
      <c r="Z2" s="136"/>
      <c r="AA2" s="136"/>
      <c r="AB2" s="136"/>
      <c r="AC2" s="137"/>
      <c r="AD2" s="136"/>
      <c r="AE2" s="136"/>
      <c r="AF2" s="136"/>
      <c r="AG2" s="137"/>
      <c r="AH2" s="136"/>
      <c r="AI2" s="136"/>
      <c r="AJ2" s="136"/>
      <c r="AK2" s="137"/>
      <c r="AL2" s="136"/>
      <c r="AM2" s="136"/>
      <c r="AN2" s="136"/>
      <c r="AO2" s="137"/>
    </row>
    <row r="3" spans="1:45" s="208" customFormat="1" x14ac:dyDescent="0.25">
      <c r="A3" s="225"/>
      <c r="B3" s="296" t="s">
        <v>123</v>
      </c>
      <c r="C3" s="225"/>
      <c r="E3" s="227"/>
      <c r="F3" s="225"/>
      <c r="J3" s="225"/>
      <c r="N3" s="225"/>
      <c r="Q3" s="227"/>
      <c r="R3" s="348"/>
      <c r="U3" s="227"/>
      <c r="Y3" s="227"/>
      <c r="AC3" s="227"/>
      <c r="AG3" s="227"/>
      <c r="AK3" s="227"/>
      <c r="AO3" s="227"/>
    </row>
    <row r="4" spans="1:45" s="208" customFormat="1" x14ac:dyDescent="0.25">
      <c r="A4" s="225"/>
      <c r="B4" s="208" t="s">
        <v>52</v>
      </c>
      <c r="C4" s="225">
        <v>220</v>
      </c>
      <c r="D4" s="208">
        <v>309</v>
      </c>
      <c r="E4" s="227">
        <v>326</v>
      </c>
      <c r="F4" s="288">
        <v>325</v>
      </c>
      <c r="G4" s="243">
        <v>326</v>
      </c>
      <c r="H4" s="208">
        <v>326</v>
      </c>
      <c r="I4" s="243">
        <v>362</v>
      </c>
      <c r="J4" s="288">
        <v>322</v>
      </c>
      <c r="K4" s="243">
        <v>353</v>
      </c>
      <c r="L4" s="243">
        <v>345</v>
      </c>
      <c r="M4" s="359">
        <v>391</v>
      </c>
      <c r="N4" s="360">
        <v>347</v>
      </c>
      <c r="O4" s="243">
        <v>380</v>
      </c>
      <c r="P4" s="243">
        <v>371</v>
      </c>
      <c r="Q4" s="326">
        <v>389</v>
      </c>
      <c r="R4" s="288">
        <v>389</v>
      </c>
      <c r="S4" s="243">
        <v>370</v>
      </c>
      <c r="T4" s="243">
        <v>384</v>
      </c>
      <c r="U4" s="326">
        <v>326</v>
      </c>
      <c r="V4" s="243">
        <v>328</v>
      </c>
      <c r="W4" s="243">
        <v>299</v>
      </c>
      <c r="X4" s="243">
        <v>241</v>
      </c>
      <c r="Y4" s="326">
        <v>286</v>
      </c>
      <c r="Z4" s="243">
        <v>282</v>
      </c>
      <c r="AA4" s="243">
        <v>287</v>
      </c>
      <c r="AB4" s="243">
        <v>316</v>
      </c>
      <c r="AC4" s="326">
        <v>289</v>
      </c>
      <c r="AD4" s="243">
        <v>324</v>
      </c>
      <c r="AE4" s="243">
        <v>295</v>
      </c>
      <c r="AF4" s="243">
        <v>313</v>
      </c>
      <c r="AG4" s="326">
        <v>197</v>
      </c>
      <c r="AH4" s="243">
        <v>184</v>
      </c>
      <c r="AI4" s="243">
        <v>181</v>
      </c>
      <c r="AJ4" s="243">
        <v>198</v>
      </c>
      <c r="AK4" s="326">
        <v>198</v>
      </c>
      <c r="AL4" s="243">
        <v>195</v>
      </c>
      <c r="AM4" s="243">
        <v>199</v>
      </c>
      <c r="AN4" s="243"/>
      <c r="AO4" s="326"/>
    </row>
    <row r="5" spans="1:45" s="208" customFormat="1" x14ac:dyDescent="0.25">
      <c r="A5" s="225"/>
      <c r="C5" s="213"/>
      <c r="E5" s="227"/>
      <c r="F5" s="288"/>
      <c r="G5" s="214"/>
      <c r="I5" s="243"/>
      <c r="J5" s="288"/>
      <c r="K5" s="243"/>
      <c r="L5" s="243"/>
      <c r="M5" s="243"/>
      <c r="N5" s="288"/>
      <c r="O5" s="243"/>
      <c r="P5" s="243"/>
      <c r="Q5" s="326"/>
      <c r="R5" s="288"/>
      <c r="S5" s="243"/>
      <c r="T5" s="243"/>
      <c r="U5" s="326"/>
      <c r="V5" s="243"/>
      <c r="W5" s="243"/>
      <c r="X5" s="243"/>
      <c r="Y5" s="326"/>
      <c r="Z5" s="243"/>
      <c r="AA5" s="243"/>
      <c r="AB5" s="243"/>
      <c r="AC5" s="326"/>
      <c r="AD5" s="243"/>
      <c r="AE5" s="243"/>
      <c r="AF5" s="243"/>
      <c r="AG5" s="326"/>
      <c r="AH5" s="243"/>
      <c r="AI5" s="243"/>
      <c r="AJ5" s="243"/>
      <c r="AK5" s="326"/>
      <c r="AL5" s="243"/>
      <c r="AM5" s="243"/>
      <c r="AN5" s="243"/>
      <c r="AO5" s="326"/>
    </row>
    <row r="6" spans="1:45" s="208" customFormat="1" x14ac:dyDescent="0.25">
      <c r="A6" s="225"/>
      <c r="B6" s="296" t="s">
        <v>104</v>
      </c>
      <c r="C6" s="225"/>
      <c r="E6" s="227"/>
      <c r="F6" s="288"/>
      <c r="G6" s="243"/>
      <c r="I6" s="243"/>
      <c r="J6" s="288"/>
      <c r="K6" s="243"/>
      <c r="L6" s="243"/>
      <c r="M6" s="243"/>
      <c r="N6" s="288"/>
      <c r="O6" s="243"/>
      <c r="P6" s="243"/>
      <c r="Q6" s="326"/>
      <c r="R6" s="288"/>
      <c r="S6" s="243"/>
      <c r="T6" s="243"/>
      <c r="U6" s="326"/>
      <c r="V6" s="243"/>
      <c r="W6" s="243"/>
      <c r="X6" s="243"/>
      <c r="Y6" s="326"/>
      <c r="Z6" s="243"/>
      <c r="AA6" s="243"/>
      <c r="AB6" s="243"/>
      <c r="AC6" s="326"/>
      <c r="AD6" s="243"/>
      <c r="AE6" s="243"/>
      <c r="AF6" s="243"/>
      <c r="AG6" s="326"/>
      <c r="AH6" s="243"/>
      <c r="AI6" s="243"/>
      <c r="AJ6" s="243"/>
      <c r="AK6" s="326"/>
      <c r="AL6" s="243"/>
      <c r="AM6" s="243"/>
      <c r="AN6" s="243"/>
      <c r="AO6" s="326"/>
    </row>
    <row r="7" spans="1:45" s="208" customFormat="1" x14ac:dyDescent="0.25">
      <c r="A7" s="225"/>
      <c r="B7" s="208" t="s">
        <v>52</v>
      </c>
      <c r="C7" s="225">
        <v>14.74</v>
      </c>
      <c r="D7" s="208">
        <v>14.86</v>
      </c>
      <c r="E7" s="227">
        <v>15.39</v>
      </c>
      <c r="F7" s="288">
        <v>15.52</v>
      </c>
      <c r="G7" s="243">
        <v>15.17</v>
      </c>
      <c r="H7" s="208">
        <v>14.55</v>
      </c>
      <c r="I7" s="243">
        <v>14.81</v>
      </c>
      <c r="J7" s="288">
        <v>13.76</v>
      </c>
      <c r="K7" s="243">
        <v>14.81</v>
      </c>
      <c r="L7" s="243">
        <v>14.54</v>
      </c>
      <c r="M7" s="245">
        <v>14.05</v>
      </c>
      <c r="N7" s="317">
        <v>13.92</v>
      </c>
      <c r="O7" s="243">
        <v>14.09</v>
      </c>
      <c r="P7" s="243">
        <v>13.62</v>
      </c>
      <c r="Q7" s="326">
        <v>13.75</v>
      </c>
      <c r="R7" s="288">
        <v>13.54</v>
      </c>
      <c r="S7" s="243">
        <v>13.44</v>
      </c>
      <c r="T7" s="243">
        <v>12.92</v>
      </c>
      <c r="U7" s="326">
        <v>13.46</v>
      </c>
      <c r="V7" s="243">
        <v>12.74</v>
      </c>
      <c r="W7" s="243">
        <v>12.41</v>
      </c>
      <c r="X7" s="243">
        <v>12.23</v>
      </c>
      <c r="Y7" s="318">
        <v>12.6</v>
      </c>
      <c r="Z7" s="243">
        <v>12.26</v>
      </c>
      <c r="AA7" s="243">
        <v>12.48</v>
      </c>
      <c r="AB7" s="243">
        <v>11.59</v>
      </c>
      <c r="AC7" s="318">
        <v>13.75</v>
      </c>
      <c r="AD7" s="243">
        <v>12.98</v>
      </c>
      <c r="AE7" s="243">
        <v>13.44</v>
      </c>
      <c r="AF7" s="243">
        <v>12.47</v>
      </c>
      <c r="AG7" s="318">
        <v>12.95</v>
      </c>
      <c r="AH7" s="243">
        <v>13.91</v>
      </c>
      <c r="AI7" s="243">
        <v>12.73</v>
      </c>
      <c r="AJ7" s="243">
        <v>12.73</v>
      </c>
      <c r="AK7" s="318">
        <v>11.98</v>
      </c>
      <c r="AL7" s="243">
        <v>12.44</v>
      </c>
      <c r="AM7" s="243">
        <v>11.62</v>
      </c>
      <c r="AN7" s="243"/>
      <c r="AO7" s="318"/>
    </row>
    <row r="8" spans="1:45" s="208" customFormat="1" x14ac:dyDescent="0.25">
      <c r="A8" s="225"/>
      <c r="C8" s="225"/>
      <c r="E8" s="227"/>
      <c r="F8" s="288"/>
      <c r="G8" s="243"/>
      <c r="I8" s="243"/>
      <c r="J8" s="288"/>
      <c r="K8" s="243"/>
      <c r="L8" s="243"/>
      <c r="M8" s="243"/>
      <c r="N8" s="288"/>
      <c r="O8" s="243"/>
      <c r="P8" s="243"/>
      <c r="Q8" s="326"/>
      <c r="R8" s="288"/>
      <c r="S8" s="243"/>
      <c r="T8" s="243"/>
      <c r="U8" s="326"/>
      <c r="V8" s="243"/>
      <c r="W8" s="243"/>
      <c r="X8" s="243"/>
      <c r="Y8" s="326"/>
      <c r="Z8" s="243"/>
      <c r="AA8" s="243"/>
      <c r="AB8" s="243"/>
      <c r="AC8" s="326"/>
      <c r="AD8" s="243"/>
      <c r="AE8" s="243"/>
      <c r="AF8" s="243"/>
      <c r="AG8" s="326"/>
      <c r="AH8" s="243"/>
      <c r="AI8" s="243"/>
      <c r="AJ8" s="243"/>
      <c r="AK8" s="326"/>
      <c r="AL8" s="243"/>
      <c r="AM8" s="243"/>
      <c r="AN8" s="243"/>
      <c r="AO8" s="326"/>
    </row>
    <row r="9" spans="1:45" s="208" customFormat="1" x14ac:dyDescent="0.25">
      <c r="A9" s="225"/>
      <c r="B9" s="296" t="s">
        <v>116</v>
      </c>
      <c r="C9" s="225"/>
      <c r="E9" s="227"/>
      <c r="F9" s="288"/>
      <c r="G9" s="243"/>
      <c r="I9" s="243"/>
      <c r="J9" s="288"/>
      <c r="K9" s="243"/>
      <c r="L9" s="243"/>
      <c r="M9" s="243"/>
      <c r="N9" s="288"/>
      <c r="O9" s="243"/>
      <c r="P9" s="243"/>
      <c r="Q9" s="326"/>
      <c r="R9" s="288"/>
      <c r="S9" s="243"/>
      <c r="T9" s="243"/>
      <c r="U9" s="326"/>
      <c r="V9" s="243"/>
      <c r="W9" s="243"/>
      <c r="X9" s="243"/>
      <c r="Y9" s="326"/>
      <c r="Z9" s="243"/>
      <c r="AA9" s="243"/>
      <c r="AB9" s="243"/>
      <c r="AC9" s="326"/>
      <c r="AD9" s="243"/>
      <c r="AE9" s="243"/>
      <c r="AF9" s="243"/>
      <c r="AG9" s="326"/>
      <c r="AH9" s="243"/>
      <c r="AI9" s="243"/>
      <c r="AJ9" s="243"/>
      <c r="AK9" s="326"/>
      <c r="AL9" s="243"/>
      <c r="AM9" s="243"/>
      <c r="AN9" s="243"/>
      <c r="AO9" s="326"/>
    </row>
    <row r="10" spans="1:45" s="208" customFormat="1" x14ac:dyDescent="0.25">
      <c r="A10" s="225"/>
      <c r="B10" s="208" t="s">
        <v>52</v>
      </c>
      <c r="C10" s="226">
        <v>93725</v>
      </c>
      <c r="D10" s="253">
        <v>135585</v>
      </c>
      <c r="E10" s="352">
        <v>147046</v>
      </c>
      <c r="F10" s="211">
        <v>148549</v>
      </c>
      <c r="G10" s="242">
        <v>145410</v>
      </c>
      <c r="H10" s="242">
        <v>139178</v>
      </c>
      <c r="I10" s="242">
        <v>159471</v>
      </c>
      <c r="J10" s="211">
        <v>130899</v>
      </c>
      <c r="K10" s="242">
        <v>153874</v>
      </c>
      <c r="L10" s="242">
        <v>147353</v>
      </c>
      <c r="M10" s="242">
        <v>161849</v>
      </c>
      <c r="N10" s="211">
        <v>141585</v>
      </c>
      <c r="O10" s="242">
        <v>156155</v>
      </c>
      <c r="P10" s="242">
        <v>147835</v>
      </c>
      <c r="Q10" s="407">
        <f>157490+2</f>
        <v>157492</v>
      </c>
      <c r="R10" s="211">
        <v>154350</v>
      </c>
      <c r="S10" s="242">
        <v>143951</v>
      </c>
      <c r="T10" s="242">
        <v>144325</v>
      </c>
      <c r="U10" s="407">
        <v>127774</v>
      </c>
      <c r="V10" s="242">
        <v>122389</v>
      </c>
      <c r="W10" s="242">
        <v>107650</v>
      </c>
      <c r="X10" s="242">
        <v>85889</v>
      </c>
      <c r="Y10" s="407">
        <v>105205</v>
      </c>
      <c r="Z10" s="242">
        <v>100690</v>
      </c>
      <c r="AA10" s="242">
        <v>104823</v>
      </c>
      <c r="AB10" s="242">
        <v>105546</v>
      </c>
      <c r="AC10" s="407">
        <v>116213</v>
      </c>
      <c r="AD10" s="242">
        <v>122543</v>
      </c>
      <c r="AE10" s="242">
        <v>115596</v>
      </c>
      <c r="AF10" s="242">
        <v>111976</v>
      </c>
      <c r="AG10" s="407">
        <v>75727</v>
      </c>
      <c r="AH10" s="242">
        <v>71991</v>
      </c>
      <c r="AI10" s="242">
        <v>69133</v>
      </c>
      <c r="AJ10" s="242">
        <v>73171</v>
      </c>
      <c r="AK10" s="407">
        <v>69774</v>
      </c>
      <c r="AL10" s="242">
        <v>68386</v>
      </c>
      <c r="AM10" s="242">
        <v>69544</v>
      </c>
      <c r="AN10" s="242"/>
      <c r="AO10" s="407"/>
    </row>
    <row r="11" spans="1:45" s="208" customFormat="1" x14ac:dyDescent="0.25">
      <c r="A11" s="225"/>
      <c r="C11" s="226"/>
      <c r="D11" s="253"/>
      <c r="E11" s="352"/>
      <c r="F11" s="211"/>
      <c r="G11" s="242"/>
      <c r="I11" s="242"/>
      <c r="J11" s="211"/>
      <c r="K11" s="242"/>
      <c r="L11" s="242"/>
      <c r="M11" s="242"/>
      <c r="N11" s="211"/>
      <c r="O11" s="242"/>
      <c r="P11" s="242"/>
      <c r="Q11" s="407"/>
      <c r="R11" s="211"/>
      <c r="S11" s="242"/>
      <c r="T11" s="242"/>
      <c r="U11" s="407"/>
      <c r="V11" s="242"/>
      <c r="W11" s="242"/>
      <c r="X11" s="242"/>
      <c r="Y11" s="407"/>
      <c r="Z11" s="242"/>
      <c r="AA11" s="242"/>
      <c r="AB11" s="242"/>
      <c r="AC11" s="407"/>
      <c r="AD11" s="242"/>
      <c r="AE11" s="242"/>
      <c r="AF11" s="242"/>
      <c r="AG11" s="407"/>
      <c r="AH11" s="242"/>
      <c r="AI11" s="242"/>
      <c r="AJ11" s="242"/>
      <c r="AK11" s="407"/>
      <c r="AL11" s="242"/>
      <c r="AM11" s="242"/>
      <c r="AN11" s="242"/>
      <c r="AO11" s="407"/>
    </row>
    <row r="12" spans="1:45" s="208" customFormat="1" x14ac:dyDescent="0.25">
      <c r="A12" s="225"/>
      <c r="B12" s="296" t="s">
        <v>124</v>
      </c>
      <c r="C12" s="226"/>
      <c r="D12" s="253"/>
      <c r="E12" s="352"/>
      <c r="F12" s="211"/>
      <c r="G12" s="242"/>
      <c r="I12" s="242"/>
      <c r="J12" s="211"/>
      <c r="K12" s="242"/>
      <c r="L12" s="242"/>
      <c r="M12" s="242"/>
      <c r="N12" s="211"/>
      <c r="O12" s="242"/>
      <c r="P12" s="242"/>
      <c r="Q12" s="407"/>
      <c r="R12" s="211"/>
      <c r="S12" s="242"/>
      <c r="T12" s="242"/>
      <c r="U12" s="407"/>
      <c r="V12" s="242"/>
      <c r="W12" s="242"/>
      <c r="X12" s="242"/>
      <c r="Y12" s="407"/>
      <c r="Z12" s="242"/>
      <c r="AA12" s="242"/>
      <c r="AB12" s="242"/>
      <c r="AC12" s="407"/>
      <c r="AD12" s="242"/>
      <c r="AE12" s="242"/>
      <c r="AF12" s="242"/>
      <c r="AG12" s="407"/>
      <c r="AH12" s="242"/>
      <c r="AI12" s="242"/>
      <c r="AJ12" s="242"/>
      <c r="AK12" s="407"/>
      <c r="AL12" s="242"/>
      <c r="AM12" s="242"/>
      <c r="AN12" s="242"/>
      <c r="AO12" s="407"/>
    </row>
    <row r="13" spans="1:45" s="208" customFormat="1" x14ac:dyDescent="0.25">
      <c r="A13" s="225"/>
      <c r="B13" s="208" t="s">
        <v>52</v>
      </c>
      <c r="C13" s="226">
        <v>2491</v>
      </c>
      <c r="D13" s="253">
        <v>3305</v>
      </c>
      <c r="E13" s="352">
        <v>3269</v>
      </c>
      <c r="F13" s="211">
        <v>2708</v>
      </c>
      <c r="G13" s="242">
        <v>2862</v>
      </c>
      <c r="H13" s="242">
        <v>3799</v>
      </c>
      <c r="I13" s="242">
        <v>3443</v>
      </c>
      <c r="J13" s="211">
        <v>4080</v>
      </c>
      <c r="K13" s="242">
        <v>3952</v>
      </c>
      <c r="L13" s="242">
        <v>4381</v>
      </c>
      <c r="M13" s="242">
        <v>4363</v>
      </c>
      <c r="N13" s="211">
        <v>5065</v>
      </c>
      <c r="O13" s="242">
        <v>5468</v>
      </c>
      <c r="P13" s="242">
        <v>5192</v>
      </c>
      <c r="Q13" s="407">
        <v>5076</v>
      </c>
      <c r="R13" s="211">
        <v>5061</v>
      </c>
      <c r="S13" s="242">
        <v>5030</v>
      </c>
      <c r="T13" s="242">
        <v>4932</v>
      </c>
      <c r="U13" s="407">
        <v>5755</v>
      </c>
      <c r="V13" s="242">
        <v>5704</v>
      </c>
      <c r="W13" s="242">
        <v>6478</v>
      </c>
      <c r="X13" s="242">
        <v>7504</v>
      </c>
      <c r="Y13" s="407">
        <v>7838</v>
      </c>
      <c r="Z13" s="242">
        <v>7665</v>
      </c>
      <c r="AA13" s="242">
        <v>6333</v>
      </c>
      <c r="AB13" s="242">
        <v>7140</v>
      </c>
      <c r="AC13" s="407">
        <v>10256</v>
      </c>
      <c r="AD13" s="242">
        <v>7642</v>
      </c>
      <c r="AE13" s="242">
        <v>7742</v>
      </c>
      <c r="AF13" s="242">
        <v>6989</v>
      </c>
      <c r="AG13" s="407">
        <v>9652</v>
      </c>
      <c r="AH13" s="242">
        <v>8276</v>
      </c>
      <c r="AI13" s="242">
        <v>7653</v>
      </c>
      <c r="AJ13" s="242">
        <v>6706</v>
      </c>
      <c r="AK13" s="407">
        <v>5680</v>
      </c>
      <c r="AL13" s="242">
        <v>6400</v>
      </c>
      <c r="AM13" s="242">
        <v>6255</v>
      </c>
      <c r="AN13" s="242"/>
      <c r="AO13" s="407"/>
    </row>
    <row r="14" spans="1:45" s="208" customFormat="1" x14ac:dyDescent="0.25">
      <c r="A14" s="225"/>
      <c r="C14" s="225"/>
      <c r="E14" s="227"/>
      <c r="F14" s="294"/>
      <c r="G14" s="293"/>
      <c r="I14" s="243"/>
      <c r="J14" s="288"/>
      <c r="K14" s="243"/>
      <c r="L14" s="243"/>
      <c r="M14" s="243"/>
      <c r="N14" s="288"/>
      <c r="O14" s="243"/>
      <c r="P14" s="243"/>
      <c r="Q14" s="326"/>
      <c r="R14" s="288"/>
      <c r="S14" s="243"/>
      <c r="T14" s="243"/>
      <c r="U14" s="326"/>
      <c r="V14" s="243"/>
      <c r="W14" s="243"/>
      <c r="X14" s="243"/>
      <c r="Y14" s="326"/>
      <c r="Z14" s="243"/>
      <c r="AA14" s="243"/>
      <c r="AB14" s="243"/>
      <c r="AC14" s="326"/>
      <c r="AD14" s="243"/>
      <c r="AE14" s="243"/>
      <c r="AF14" s="243"/>
      <c r="AG14" s="326"/>
      <c r="AH14" s="243"/>
      <c r="AI14" s="243"/>
      <c r="AJ14" s="243"/>
      <c r="AK14" s="326"/>
      <c r="AL14" s="243"/>
      <c r="AM14" s="243"/>
      <c r="AN14" s="243"/>
      <c r="AO14" s="326"/>
    </row>
    <row r="15" spans="1:45" s="208" customFormat="1" x14ac:dyDescent="0.25">
      <c r="A15" s="225"/>
      <c r="B15" s="296" t="s">
        <v>157</v>
      </c>
      <c r="C15" s="225"/>
      <c r="E15" s="227"/>
      <c r="F15" s="294"/>
      <c r="G15" s="293"/>
      <c r="I15" s="243"/>
      <c r="J15" s="288"/>
      <c r="K15" s="243"/>
      <c r="L15" s="243"/>
      <c r="M15" s="243"/>
      <c r="N15" s="288"/>
      <c r="O15" s="243"/>
      <c r="P15" s="243"/>
      <c r="Q15" s="326"/>
      <c r="R15" s="288"/>
      <c r="S15" s="243"/>
      <c r="T15" s="243"/>
      <c r="U15" s="326"/>
      <c r="V15" s="243"/>
      <c r="W15" s="243"/>
      <c r="X15" s="243"/>
      <c r="Y15" s="326"/>
      <c r="Z15" s="243"/>
      <c r="AA15" s="243"/>
      <c r="AB15" s="243"/>
      <c r="AC15" s="326"/>
      <c r="AD15" s="243"/>
      <c r="AE15" s="243"/>
      <c r="AF15" s="243"/>
      <c r="AG15" s="326"/>
      <c r="AH15" s="243"/>
      <c r="AI15" s="243"/>
      <c r="AJ15" s="243"/>
      <c r="AK15" s="326"/>
      <c r="AL15" s="243"/>
      <c r="AM15" s="243"/>
      <c r="AN15" s="243"/>
      <c r="AO15" s="326"/>
    </row>
    <row r="16" spans="1:45" s="208" customFormat="1" x14ac:dyDescent="0.25">
      <c r="A16" s="225"/>
      <c r="B16" s="208" t="s">
        <v>201</v>
      </c>
      <c r="C16" s="225">
        <v>25.2</v>
      </c>
      <c r="D16" s="223">
        <v>23</v>
      </c>
      <c r="E16" s="227">
        <v>24.7</v>
      </c>
      <c r="F16" s="288">
        <v>25.8</v>
      </c>
      <c r="G16" s="243">
        <v>21.8</v>
      </c>
      <c r="H16" s="208">
        <v>18.399999999999999</v>
      </c>
      <c r="I16" s="243">
        <v>22.1</v>
      </c>
      <c r="J16" s="288">
        <v>25.6</v>
      </c>
      <c r="K16" s="277">
        <v>27</v>
      </c>
      <c r="L16" s="243">
        <v>25.3</v>
      </c>
      <c r="M16" s="277">
        <v>29.8</v>
      </c>
      <c r="N16" s="289">
        <v>28</v>
      </c>
      <c r="O16" s="277">
        <v>22.8</v>
      </c>
      <c r="P16" s="277">
        <v>24.5</v>
      </c>
      <c r="Q16" s="356">
        <v>30.5</v>
      </c>
      <c r="R16" s="289">
        <v>23.8</v>
      </c>
      <c r="S16" s="277">
        <v>25.6</v>
      </c>
      <c r="T16" s="277">
        <v>22.7</v>
      </c>
      <c r="U16" s="356">
        <v>23</v>
      </c>
      <c r="V16" s="277">
        <v>23.7</v>
      </c>
      <c r="W16" s="277">
        <v>22</v>
      </c>
      <c r="X16" s="277">
        <v>17.7</v>
      </c>
      <c r="Y16" s="356">
        <v>12.1</v>
      </c>
      <c r="Z16" s="277">
        <v>10.7</v>
      </c>
      <c r="AA16" s="277">
        <v>11.2</v>
      </c>
      <c r="AB16" s="277">
        <v>9.5</v>
      </c>
      <c r="AC16" s="356">
        <v>11</v>
      </c>
      <c r="AD16" s="277">
        <v>10.7</v>
      </c>
      <c r="AE16" s="277">
        <v>10.7</v>
      </c>
      <c r="AF16" s="277">
        <v>10.6</v>
      </c>
      <c r="AG16" s="356">
        <v>10.3</v>
      </c>
      <c r="AH16" s="277">
        <v>9.3000000000000007</v>
      </c>
      <c r="AI16" s="277">
        <v>9.8000000000000007</v>
      </c>
      <c r="AJ16" s="277">
        <v>11.2</v>
      </c>
      <c r="AK16" s="356">
        <v>10.5</v>
      </c>
      <c r="AL16" s="698"/>
      <c r="AM16" s="698"/>
      <c r="AN16" s="698"/>
      <c r="AO16" s="698"/>
      <c r="AP16" s="977" t="s">
        <v>274</v>
      </c>
      <c r="AQ16" s="978"/>
      <c r="AR16" s="978"/>
      <c r="AS16" s="978"/>
    </row>
    <row r="17" spans="1:45" s="208" customFormat="1" x14ac:dyDescent="0.25">
      <c r="A17" s="225"/>
      <c r="B17" s="208" t="s">
        <v>202</v>
      </c>
      <c r="C17" s="226">
        <v>1541</v>
      </c>
      <c r="D17" s="253">
        <v>2120</v>
      </c>
      <c r="E17" s="352">
        <v>2271</v>
      </c>
      <c r="F17" s="211">
        <v>2323</v>
      </c>
      <c r="G17" s="242">
        <v>1984</v>
      </c>
      <c r="H17" s="242">
        <v>1696</v>
      </c>
      <c r="I17" s="242">
        <v>2032</v>
      </c>
      <c r="J17" s="211">
        <v>2303</v>
      </c>
      <c r="K17" s="242">
        <v>2457</v>
      </c>
      <c r="L17" s="242">
        <v>2327</v>
      </c>
      <c r="M17" s="242">
        <v>2742</v>
      </c>
      <c r="N17" s="211">
        <v>2547</v>
      </c>
      <c r="O17" s="242">
        <v>2071</v>
      </c>
      <c r="P17" s="242">
        <v>2254</v>
      </c>
      <c r="Q17" s="407">
        <v>2803</v>
      </c>
      <c r="R17" s="211">
        <v>2139</v>
      </c>
      <c r="S17" s="242">
        <v>2334</v>
      </c>
      <c r="T17" s="242">
        <v>2087</v>
      </c>
      <c r="U17" s="407">
        <v>2114</v>
      </c>
      <c r="V17" s="242">
        <v>2132</v>
      </c>
      <c r="W17" s="242">
        <v>2004</v>
      </c>
      <c r="X17" s="242">
        <v>1630</v>
      </c>
      <c r="Y17" s="407">
        <v>1110</v>
      </c>
      <c r="Z17" s="242">
        <v>965</v>
      </c>
      <c r="AA17" s="242">
        <v>1014</v>
      </c>
      <c r="AB17" s="242">
        <v>873</v>
      </c>
      <c r="AC17" s="407">
        <v>999</v>
      </c>
      <c r="AD17" s="242">
        <v>988</v>
      </c>
      <c r="AE17" s="242">
        <v>971</v>
      </c>
      <c r="AF17" s="242">
        <v>973</v>
      </c>
      <c r="AG17" s="407">
        <v>948</v>
      </c>
      <c r="AH17" s="242">
        <v>839</v>
      </c>
      <c r="AI17" s="242">
        <v>893</v>
      </c>
      <c r="AJ17" s="242">
        <v>1031</v>
      </c>
      <c r="AK17" s="407">
        <v>964</v>
      </c>
      <c r="AL17" s="700"/>
      <c r="AM17" s="700"/>
      <c r="AN17" s="700"/>
      <c r="AO17" s="700"/>
      <c r="AP17" s="978"/>
      <c r="AQ17" s="978"/>
      <c r="AR17" s="978"/>
      <c r="AS17" s="978"/>
    </row>
    <row r="18" spans="1:45" s="208" customFormat="1" x14ac:dyDescent="0.25">
      <c r="A18" s="225"/>
      <c r="B18" s="208" t="s">
        <v>203</v>
      </c>
      <c r="C18" s="226">
        <v>232</v>
      </c>
      <c r="D18" s="253">
        <v>359</v>
      </c>
      <c r="E18" s="352">
        <v>278</v>
      </c>
      <c r="F18" s="211">
        <v>365</v>
      </c>
      <c r="G18" s="242">
        <v>307</v>
      </c>
      <c r="H18" s="208">
        <v>188</v>
      </c>
      <c r="I18" s="242">
        <v>280</v>
      </c>
      <c r="J18" s="211">
        <v>581</v>
      </c>
      <c r="K18" s="242">
        <v>576</v>
      </c>
      <c r="L18" s="242">
        <v>354</v>
      </c>
      <c r="M18" s="242">
        <v>409</v>
      </c>
      <c r="N18" s="211">
        <v>262</v>
      </c>
      <c r="O18" s="242">
        <v>347</v>
      </c>
      <c r="P18" s="242">
        <v>103</v>
      </c>
      <c r="Q18" s="407">
        <v>83</v>
      </c>
      <c r="R18" s="211">
        <v>14</v>
      </c>
      <c r="S18" s="242">
        <v>0</v>
      </c>
      <c r="T18" s="242">
        <v>23</v>
      </c>
      <c r="U18" s="407">
        <v>0</v>
      </c>
      <c r="V18" s="242">
        <v>0</v>
      </c>
      <c r="W18" s="242">
        <v>0</v>
      </c>
      <c r="X18" s="242">
        <v>0</v>
      </c>
      <c r="Y18" s="407">
        <v>0</v>
      </c>
      <c r="Z18" s="242">
        <v>0</v>
      </c>
      <c r="AA18" s="242">
        <v>0</v>
      </c>
      <c r="AB18" s="242">
        <v>0</v>
      </c>
      <c r="AC18" s="407">
        <v>0</v>
      </c>
      <c r="AD18" s="242">
        <v>0</v>
      </c>
      <c r="AE18" s="242">
        <v>0</v>
      </c>
      <c r="AF18" s="242">
        <v>0</v>
      </c>
      <c r="AG18" s="407">
        <v>0</v>
      </c>
      <c r="AH18" s="242">
        <v>0</v>
      </c>
      <c r="AI18" s="242">
        <v>0</v>
      </c>
      <c r="AJ18" s="242">
        <v>0</v>
      </c>
      <c r="AK18" s="407">
        <v>0</v>
      </c>
      <c r="AL18" s="700"/>
      <c r="AM18" s="700"/>
      <c r="AN18" s="700"/>
      <c r="AO18" s="700"/>
      <c r="AP18" s="978"/>
      <c r="AQ18" s="978"/>
      <c r="AR18" s="978"/>
      <c r="AS18" s="978"/>
    </row>
    <row r="19" spans="1:45" s="208" customFormat="1" x14ac:dyDescent="0.25">
      <c r="A19" s="225"/>
      <c r="B19" s="208" t="s">
        <v>204</v>
      </c>
      <c r="C19" s="226">
        <v>1309</v>
      </c>
      <c r="D19" s="253">
        <v>1761</v>
      </c>
      <c r="E19" s="352">
        <v>1993</v>
      </c>
      <c r="F19" s="211">
        <v>1958</v>
      </c>
      <c r="G19" s="242">
        <v>1677</v>
      </c>
      <c r="H19" s="242">
        <v>1508</v>
      </c>
      <c r="I19" s="242">
        <v>1752</v>
      </c>
      <c r="J19" s="211">
        <v>1722</v>
      </c>
      <c r="K19" s="242">
        <v>1881</v>
      </c>
      <c r="L19" s="242">
        <v>1973</v>
      </c>
      <c r="M19" s="242">
        <v>2333</v>
      </c>
      <c r="N19" s="211">
        <v>2285</v>
      </c>
      <c r="O19" s="242">
        <v>1725</v>
      </c>
      <c r="P19" s="242">
        <v>2151</v>
      </c>
      <c r="Q19" s="407">
        <v>2721</v>
      </c>
      <c r="R19" s="211">
        <v>2125</v>
      </c>
      <c r="S19" s="242">
        <v>2334</v>
      </c>
      <c r="T19" s="242">
        <v>2064</v>
      </c>
      <c r="U19" s="407">
        <v>2114</v>
      </c>
      <c r="V19" s="242">
        <v>2132</v>
      </c>
      <c r="W19" s="242">
        <v>2004</v>
      </c>
      <c r="X19" s="242">
        <v>1630</v>
      </c>
      <c r="Y19" s="407">
        <v>1110</v>
      </c>
      <c r="Z19" s="242">
        <v>965</v>
      </c>
      <c r="AA19" s="242">
        <v>1014</v>
      </c>
      <c r="AB19" s="242">
        <v>873</v>
      </c>
      <c r="AC19" s="407">
        <v>999</v>
      </c>
      <c r="AD19" s="242">
        <v>988</v>
      </c>
      <c r="AE19" s="242">
        <v>971</v>
      </c>
      <c r="AF19" s="242">
        <v>973</v>
      </c>
      <c r="AG19" s="407">
        <v>948</v>
      </c>
      <c r="AH19" s="242">
        <v>839</v>
      </c>
      <c r="AI19" s="242">
        <v>893</v>
      </c>
      <c r="AJ19" s="242">
        <v>1031</v>
      </c>
      <c r="AK19" s="407">
        <v>964</v>
      </c>
      <c r="AL19" s="700"/>
      <c r="AM19" s="700"/>
      <c r="AN19" s="700"/>
      <c r="AO19" s="700"/>
      <c r="AP19" s="978"/>
      <c r="AQ19" s="978"/>
      <c r="AR19" s="978"/>
      <c r="AS19" s="978"/>
    </row>
    <row r="20" spans="1:45" s="208" customFormat="1" x14ac:dyDescent="0.25">
      <c r="A20" s="225"/>
      <c r="B20" s="208" t="s">
        <v>125</v>
      </c>
      <c r="C20" s="226">
        <v>126400</v>
      </c>
      <c r="D20" s="253">
        <v>197300</v>
      </c>
      <c r="E20" s="352">
        <v>193397</v>
      </c>
      <c r="F20" s="211">
        <v>191404</v>
      </c>
      <c r="G20" s="242">
        <v>168842</v>
      </c>
      <c r="H20" s="242">
        <v>144585</v>
      </c>
      <c r="I20" s="242">
        <v>181761</v>
      </c>
      <c r="J20" s="211">
        <v>201289</v>
      </c>
      <c r="K20" s="242">
        <v>220161</v>
      </c>
      <c r="L20" s="242">
        <v>202141</v>
      </c>
      <c r="M20" s="242">
        <v>229540</v>
      </c>
      <c r="N20" s="211">
        <v>221798</v>
      </c>
      <c r="O20" s="242">
        <v>175674</v>
      </c>
      <c r="P20" s="242">
        <v>202661</v>
      </c>
      <c r="Q20" s="407">
        <v>240037</v>
      </c>
      <c r="R20" s="211">
        <v>195474</v>
      </c>
      <c r="S20" s="242">
        <v>207398</v>
      </c>
      <c r="T20" s="242">
        <v>179765</v>
      </c>
      <c r="U20" s="407">
        <v>172511</v>
      </c>
      <c r="V20" s="242">
        <v>190871</v>
      </c>
      <c r="W20" s="242">
        <v>170462</v>
      </c>
      <c r="X20" s="242">
        <v>141560</v>
      </c>
      <c r="Y20" s="407">
        <v>95881</v>
      </c>
      <c r="Z20" s="242">
        <v>78844</v>
      </c>
      <c r="AA20" s="242">
        <v>83608</v>
      </c>
      <c r="AB20" s="242">
        <v>72434</v>
      </c>
      <c r="AC20" s="407">
        <v>75428</v>
      </c>
      <c r="AD20" s="242">
        <v>77873</v>
      </c>
      <c r="AE20" s="242">
        <v>77065</v>
      </c>
      <c r="AF20" s="242">
        <v>81762</v>
      </c>
      <c r="AG20" s="407">
        <v>79770</v>
      </c>
      <c r="AH20" s="242">
        <v>74717</v>
      </c>
      <c r="AI20" s="242">
        <v>75153</v>
      </c>
      <c r="AJ20" s="242">
        <v>82503</v>
      </c>
      <c r="AK20" s="407">
        <v>76244</v>
      </c>
      <c r="AL20" s="700"/>
      <c r="AM20" s="700"/>
      <c r="AN20" s="700"/>
      <c r="AO20" s="700"/>
      <c r="AP20" s="978"/>
      <c r="AQ20" s="978"/>
      <c r="AR20" s="978"/>
      <c r="AS20" s="978"/>
    </row>
    <row r="21" spans="1:45" s="208" customFormat="1" x14ac:dyDescent="0.25">
      <c r="A21" s="225"/>
      <c r="B21" s="208" t="s">
        <v>126</v>
      </c>
      <c r="C21" s="226">
        <v>94400</v>
      </c>
      <c r="D21" s="253">
        <v>141700</v>
      </c>
      <c r="E21" s="352">
        <v>141745</v>
      </c>
      <c r="F21" s="211">
        <v>155455</v>
      </c>
      <c r="G21" s="242">
        <v>147872</v>
      </c>
      <c r="H21" s="242">
        <v>126744</v>
      </c>
      <c r="I21" s="242">
        <v>110476</v>
      </c>
      <c r="J21" s="211">
        <v>183795</v>
      </c>
      <c r="K21" s="242">
        <v>172020</v>
      </c>
      <c r="L21" s="242">
        <v>178685</v>
      </c>
      <c r="M21" s="242">
        <v>215588</v>
      </c>
      <c r="N21" s="211">
        <v>133714</v>
      </c>
      <c r="O21" s="242">
        <v>220838</v>
      </c>
      <c r="P21" s="242">
        <v>113225</v>
      </c>
      <c r="Q21" s="407">
        <v>206115</v>
      </c>
      <c r="R21" s="211">
        <v>218450</v>
      </c>
      <c r="S21" s="242">
        <v>203935</v>
      </c>
      <c r="T21" s="242">
        <v>183734</v>
      </c>
      <c r="U21" s="407">
        <v>176433</v>
      </c>
      <c r="V21" s="242">
        <v>147571</v>
      </c>
      <c r="W21" s="242">
        <v>213988</v>
      </c>
      <c r="X21" s="242">
        <v>162659</v>
      </c>
      <c r="Y21" s="407">
        <v>118982</v>
      </c>
      <c r="Z21" s="242">
        <v>79405</v>
      </c>
      <c r="AA21" s="242">
        <v>74041</v>
      </c>
      <c r="AB21" s="242">
        <v>77679</v>
      </c>
      <c r="AC21" s="407">
        <v>77996</v>
      </c>
      <c r="AD21" s="242">
        <v>77245</v>
      </c>
      <c r="AE21" s="242">
        <v>80745</v>
      </c>
      <c r="AF21" s="242">
        <v>81228</v>
      </c>
      <c r="AG21" s="407">
        <v>86270</v>
      </c>
      <c r="AH21" s="242">
        <v>57171</v>
      </c>
      <c r="AI21" s="242">
        <v>78261</v>
      </c>
      <c r="AJ21" s="242">
        <v>78015</v>
      </c>
      <c r="AK21" s="407">
        <v>79719</v>
      </c>
      <c r="AL21" s="700"/>
      <c r="AM21" s="700"/>
      <c r="AN21" s="700"/>
      <c r="AO21" s="700"/>
      <c r="AP21" s="978"/>
      <c r="AQ21" s="978"/>
      <c r="AR21" s="978"/>
      <c r="AS21" s="978"/>
    </row>
    <row r="22" spans="1:45" s="347" customFormat="1" x14ac:dyDescent="0.25">
      <c r="A22" s="306"/>
      <c r="B22" s="208" t="s">
        <v>127</v>
      </c>
      <c r="C22" s="226">
        <v>28800</v>
      </c>
      <c r="D22" s="253">
        <v>34600</v>
      </c>
      <c r="E22" s="352">
        <v>45280</v>
      </c>
      <c r="F22" s="211">
        <v>38260</v>
      </c>
      <c r="G22" s="242">
        <v>29996</v>
      </c>
      <c r="H22" s="242">
        <v>40475</v>
      </c>
      <c r="I22" s="242">
        <v>35441</v>
      </c>
      <c r="J22" s="211">
        <v>15761</v>
      </c>
      <c r="K22" s="242">
        <f>32584</f>
        <v>32584</v>
      </c>
      <c r="L22" s="242">
        <f>49317</f>
        <v>49317</v>
      </c>
      <c r="M22" s="242">
        <f>29136</f>
        <v>29136</v>
      </c>
      <c r="N22" s="211">
        <v>31062</v>
      </c>
      <c r="O22" s="242">
        <v>32074</v>
      </c>
      <c r="P22" s="242">
        <v>24585</v>
      </c>
      <c r="Q22" s="407">
        <v>12370</v>
      </c>
      <c r="R22" s="211">
        <v>9203</v>
      </c>
      <c r="S22" s="242">
        <v>1377</v>
      </c>
      <c r="T22" s="242">
        <v>99</v>
      </c>
      <c r="U22" s="407">
        <v>1951</v>
      </c>
      <c r="V22" s="242">
        <v>0</v>
      </c>
      <c r="W22" s="242">
        <v>1878</v>
      </c>
      <c r="X22" s="242">
        <v>4715</v>
      </c>
      <c r="Y22" s="407">
        <v>743</v>
      </c>
      <c r="Z22" s="242">
        <v>2532</v>
      </c>
      <c r="AA22" s="242">
        <v>2520</v>
      </c>
      <c r="AB22" s="242">
        <v>2091</v>
      </c>
      <c r="AC22" s="407">
        <v>317</v>
      </c>
      <c r="AD22" s="242">
        <v>0</v>
      </c>
      <c r="AE22" s="242">
        <v>0</v>
      </c>
      <c r="AF22" s="242">
        <v>0</v>
      </c>
      <c r="AG22" s="407">
        <v>0</v>
      </c>
      <c r="AH22" s="242">
        <v>713</v>
      </c>
      <c r="AI22" s="242">
        <v>2330</v>
      </c>
      <c r="AJ22" s="242">
        <v>2182</v>
      </c>
      <c r="AK22" s="407">
        <v>1137</v>
      </c>
      <c r="AL22" s="700"/>
      <c r="AM22" s="700"/>
      <c r="AN22" s="700"/>
      <c r="AO22" s="700"/>
      <c r="AP22" s="978"/>
      <c r="AQ22" s="978"/>
      <c r="AR22" s="978"/>
      <c r="AS22" s="978"/>
    </row>
    <row r="23" spans="1:45" s="208" customFormat="1" ht="15" customHeight="1" x14ac:dyDescent="0.35">
      <c r="A23" s="225"/>
      <c r="B23" s="383"/>
      <c r="C23" s="225"/>
      <c r="E23" s="227"/>
      <c r="F23" s="225"/>
      <c r="J23" s="225"/>
      <c r="N23" s="225"/>
      <c r="Q23" s="227"/>
      <c r="R23" s="225"/>
      <c r="U23" s="227"/>
      <c r="Y23" s="227"/>
      <c r="AC23" s="227"/>
      <c r="AG23" s="227"/>
      <c r="AK23" s="227"/>
      <c r="AO23" s="227"/>
    </row>
    <row r="24" spans="1:45" s="208" customFormat="1" x14ac:dyDescent="0.25">
      <c r="A24" s="225"/>
      <c r="B24" s="296" t="s">
        <v>135</v>
      </c>
      <c r="C24" s="225"/>
      <c r="E24" s="227"/>
      <c r="F24" s="225"/>
      <c r="J24" s="225"/>
      <c r="N24" s="225"/>
      <c r="Q24" s="227"/>
      <c r="R24" s="225"/>
      <c r="U24" s="227"/>
      <c r="Y24" s="227"/>
      <c r="AC24" s="227"/>
      <c r="AG24" s="227"/>
      <c r="AK24" s="227"/>
      <c r="AO24" s="227"/>
    </row>
    <row r="25" spans="1:45" s="208" customFormat="1" x14ac:dyDescent="0.25">
      <c r="A25" s="225"/>
      <c r="B25" s="321" t="s">
        <v>130</v>
      </c>
      <c r="C25" s="225">
        <v>1946.4</v>
      </c>
      <c r="D25" s="208">
        <v>3403.3</v>
      </c>
      <c r="E25" s="227">
        <v>3811.9</v>
      </c>
      <c r="F25" s="210">
        <v>3665.6</v>
      </c>
      <c r="G25" s="221">
        <v>3775.4</v>
      </c>
      <c r="H25" s="221">
        <f t="shared" ref="H25:M25" si="0">SUM(H26:H27)</f>
        <v>3343.3</v>
      </c>
      <c r="I25" s="221">
        <f t="shared" si="0"/>
        <v>5088.3999999999996</v>
      </c>
      <c r="J25" s="210">
        <f t="shared" si="0"/>
        <v>5385.6</v>
      </c>
      <c r="K25" s="221">
        <f t="shared" si="0"/>
        <v>5937.7999999999993</v>
      </c>
      <c r="L25" s="221">
        <f t="shared" si="0"/>
        <v>6621</v>
      </c>
      <c r="M25" s="221">
        <f t="shared" si="0"/>
        <v>8920.2000000000007</v>
      </c>
      <c r="N25" s="433">
        <f t="shared" ref="N25:O25" si="1">SUM(N26:N27)</f>
        <v>6776</v>
      </c>
      <c r="O25" s="346">
        <f t="shared" si="1"/>
        <v>16240</v>
      </c>
      <c r="P25" s="346">
        <f t="shared" ref="P25:Q25" si="2">SUM(P26:P27)</f>
        <v>9364</v>
      </c>
      <c r="Q25" s="448">
        <f t="shared" si="2"/>
        <v>12775</v>
      </c>
      <c r="R25" s="433">
        <f t="shared" ref="R25:S25" si="3">SUM(R26:R27)</f>
        <v>14103</v>
      </c>
      <c r="S25" s="346">
        <f t="shared" si="3"/>
        <v>15031</v>
      </c>
      <c r="T25" s="346">
        <f t="shared" ref="T25:W25" si="4">SUM(T26:T27)</f>
        <v>16278</v>
      </c>
      <c r="U25" s="448">
        <f t="shared" si="4"/>
        <v>13640</v>
      </c>
      <c r="V25" s="346">
        <f t="shared" si="4"/>
        <v>10775</v>
      </c>
      <c r="W25" s="346">
        <f t="shared" si="4"/>
        <v>13355</v>
      </c>
      <c r="X25" s="346">
        <f t="shared" ref="X25:AA25" si="5">SUM(X26:X27)</f>
        <v>11708</v>
      </c>
      <c r="Y25" s="448">
        <f t="shared" si="5"/>
        <v>10252</v>
      </c>
      <c r="Z25" s="346">
        <f t="shared" si="5"/>
        <v>6647</v>
      </c>
      <c r="AA25" s="346">
        <f t="shared" si="5"/>
        <v>6262</v>
      </c>
      <c r="AB25" s="346">
        <f t="shared" ref="AB25:AE25" si="6">SUM(AB26:AB27)</f>
        <v>6151</v>
      </c>
      <c r="AC25" s="448">
        <f t="shared" si="6"/>
        <v>4751</v>
      </c>
      <c r="AD25" s="346">
        <f t="shared" si="6"/>
        <v>4459</v>
      </c>
      <c r="AE25" s="346">
        <f t="shared" si="6"/>
        <v>4103</v>
      </c>
      <c r="AF25" s="346">
        <f t="shared" ref="AF25:AK25" si="7">SUM(AF26:AF27)</f>
        <v>3838</v>
      </c>
      <c r="AG25" s="448">
        <f t="shared" si="7"/>
        <v>4381</v>
      </c>
      <c r="AH25" s="346">
        <f t="shared" si="7"/>
        <v>2702</v>
      </c>
      <c r="AI25" s="346">
        <f t="shared" si="7"/>
        <v>3335</v>
      </c>
      <c r="AJ25" s="346">
        <f t="shared" si="7"/>
        <v>3690</v>
      </c>
      <c r="AK25" s="448">
        <f t="shared" si="7"/>
        <v>4257</v>
      </c>
      <c r="AL25" s="346">
        <f t="shared" ref="AL25:AO25" si="8">SUM(AL26:AL27)</f>
        <v>2114</v>
      </c>
      <c r="AM25" s="346">
        <f t="shared" si="8"/>
        <v>1767</v>
      </c>
      <c r="AN25" s="346">
        <f t="shared" si="8"/>
        <v>0</v>
      </c>
      <c r="AO25" s="448">
        <f t="shared" si="8"/>
        <v>0</v>
      </c>
    </row>
    <row r="26" spans="1:45" s="208" customFormat="1" x14ac:dyDescent="0.25">
      <c r="A26" s="225"/>
      <c r="B26" s="321" t="s">
        <v>52</v>
      </c>
      <c r="C26" s="384">
        <v>889.9</v>
      </c>
      <c r="D26" s="385">
        <v>1760.9</v>
      </c>
      <c r="E26" s="386">
        <v>1991</v>
      </c>
      <c r="F26" s="282">
        <v>1761.8</v>
      </c>
      <c r="G26" s="387">
        <v>1769.7</v>
      </c>
      <c r="H26" s="387">
        <v>1411.5</v>
      </c>
      <c r="I26" s="387">
        <f>3321.1+166</f>
        <v>3487.1</v>
      </c>
      <c r="J26" s="282">
        <f>2330.5+136.6</f>
        <v>2467.1</v>
      </c>
      <c r="K26" s="387">
        <v>2747.2</v>
      </c>
      <c r="L26" s="387">
        <v>3015.8</v>
      </c>
      <c r="M26" s="387">
        <v>4113.2000000000007</v>
      </c>
      <c r="N26" s="449">
        <v>2971</v>
      </c>
      <c r="O26" s="450">
        <v>6335</v>
      </c>
      <c r="P26" s="450">
        <v>4925</v>
      </c>
      <c r="Q26" s="451">
        <v>5626</v>
      </c>
      <c r="R26" s="449">
        <v>4561</v>
      </c>
      <c r="S26" s="450">
        <v>5159</v>
      </c>
      <c r="T26" s="450">
        <v>4432</v>
      </c>
      <c r="U26" s="451">
        <v>4189</v>
      </c>
      <c r="V26" s="450">
        <v>3856</v>
      </c>
      <c r="W26" s="450">
        <v>3956</v>
      </c>
      <c r="X26" s="450">
        <v>2348</v>
      </c>
      <c r="Y26" s="451">
        <v>3663</v>
      </c>
      <c r="Z26" s="450">
        <v>2428</v>
      </c>
      <c r="AA26" s="450">
        <f>2606+183</f>
        <v>2789</v>
      </c>
      <c r="AB26" s="450">
        <v>2945</v>
      </c>
      <c r="AC26" s="451">
        <v>2331</v>
      </c>
      <c r="AD26" s="450">
        <v>2577</v>
      </c>
      <c r="AE26" s="450">
        <v>2276</v>
      </c>
      <c r="AF26" s="450">
        <v>1945</v>
      </c>
      <c r="AG26" s="451">
        <v>2410</v>
      </c>
      <c r="AH26" s="450">
        <v>1183</v>
      </c>
      <c r="AI26" s="450">
        <v>1562</v>
      </c>
      <c r="AJ26" s="450">
        <f>1696+168</f>
        <v>1864</v>
      </c>
      <c r="AK26" s="451">
        <v>2107</v>
      </c>
      <c r="AL26" s="450">
        <v>2114</v>
      </c>
      <c r="AM26" s="450">
        <v>1767</v>
      </c>
      <c r="AN26" s="450"/>
      <c r="AO26" s="451"/>
    </row>
    <row r="27" spans="1:45" s="208" customFormat="1" x14ac:dyDescent="0.25">
      <c r="A27" s="225"/>
      <c r="B27" s="321" t="s">
        <v>131</v>
      </c>
      <c r="C27" s="388">
        <v>1056.5</v>
      </c>
      <c r="D27" s="389">
        <v>1642.4</v>
      </c>
      <c r="E27" s="390">
        <v>1820.9</v>
      </c>
      <c r="F27" s="283">
        <v>1903.8</v>
      </c>
      <c r="G27" s="391">
        <v>2005.7</v>
      </c>
      <c r="H27" s="391">
        <v>1931.8</v>
      </c>
      <c r="I27" s="391">
        <v>1601.3</v>
      </c>
      <c r="J27" s="283">
        <v>2918.5</v>
      </c>
      <c r="K27" s="391">
        <v>3190.6</v>
      </c>
      <c r="L27" s="391">
        <v>3605.2</v>
      </c>
      <c r="M27" s="391">
        <v>4807</v>
      </c>
      <c r="N27" s="434">
        <v>3805</v>
      </c>
      <c r="O27" s="435">
        <v>9905</v>
      </c>
      <c r="P27" s="435">
        <v>4439</v>
      </c>
      <c r="Q27" s="452">
        <v>7149</v>
      </c>
      <c r="R27" s="434">
        <v>9542</v>
      </c>
      <c r="S27" s="435">
        <v>9872</v>
      </c>
      <c r="T27" s="435">
        <v>11846</v>
      </c>
      <c r="U27" s="452">
        <v>9451</v>
      </c>
      <c r="V27" s="435">
        <v>6919</v>
      </c>
      <c r="W27" s="435">
        <v>9399</v>
      </c>
      <c r="X27" s="435">
        <v>9360</v>
      </c>
      <c r="Y27" s="452">
        <v>6589</v>
      </c>
      <c r="Z27" s="435">
        <v>4219</v>
      </c>
      <c r="AA27" s="435">
        <v>3473</v>
      </c>
      <c r="AB27" s="435">
        <v>3206</v>
      </c>
      <c r="AC27" s="452">
        <v>2420</v>
      </c>
      <c r="AD27" s="435">
        <v>1882</v>
      </c>
      <c r="AE27" s="435">
        <v>1827</v>
      </c>
      <c r="AF27" s="435">
        <v>1893</v>
      </c>
      <c r="AG27" s="452">
        <v>1971</v>
      </c>
      <c r="AH27" s="435">
        <v>1519</v>
      </c>
      <c r="AI27" s="435">
        <v>1773</v>
      </c>
      <c r="AJ27" s="435">
        <v>1826</v>
      </c>
      <c r="AK27" s="452">
        <v>2150</v>
      </c>
      <c r="AL27" s="703"/>
      <c r="AM27" s="703"/>
      <c r="AN27" s="435"/>
      <c r="AO27" s="452"/>
      <c r="AP27" s="698" t="s">
        <v>274</v>
      </c>
      <c r="AQ27" s="702"/>
      <c r="AR27" s="702"/>
      <c r="AS27" s="702"/>
    </row>
    <row r="28" spans="1:45" s="208" customFormat="1" x14ac:dyDescent="0.25">
      <c r="A28" s="225"/>
      <c r="B28" s="321" t="s">
        <v>132</v>
      </c>
      <c r="C28" s="210">
        <v>-1572.4</v>
      </c>
      <c r="D28" s="221">
        <v>-2613.8000000000002</v>
      </c>
      <c r="E28" s="222">
        <v>-2825.6</v>
      </c>
      <c r="F28" s="210">
        <v>-2678.1</v>
      </c>
      <c r="G28" s="221">
        <v>-2875.5</v>
      </c>
      <c r="H28" s="221">
        <f t="shared" ref="H28:M28" si="9">SUM(H29:H30)</f>
        <v>-2657.8</v>
      </c>
      <c r="I28" s="221">
        <f t="shared" si="9"/>
        <v>-3509.5</v>
      </c>
      <c r="J28" s="210">
        <f t="shared" si="9"/>
        <v>-3903.9</v>
      </c>
      <c r="K28" s="221">
        <v>-4428.7</v>
      </c>
      <c r="L28" s="221">
        <f t="shared" si="9"/>
        <v>-4795.3999999999996</v>
      </c>
      <c r="M28" s="221">
        <f t="shared" si="9"/>
        <v>-6441.3</v>
      </c>
      <c r="N28" s="213">
        <v>-4702</v>
      </c>
      <c r="O28" s="456">
        <f t="shared" ref="O28" si="10">SUM(O29:O30)</f>
        <v>-12264</v>
      </c>
      <c r="P28" s="456">
        <f t="shared" ref="P28:Q28" si="11">SUM(P29:P30)</f>
        <v>-6133</v>
      </c>
      <c r="Q28" s="455">
        <f t="shared" si="11"/>
        <v>-8905</v>
      </c>
      <c r="R28" s="213">
        <f t="shared" ref="R28:S28" si="12">SUM(R29:R30)</f>
        <v>-10801</v>
      </c>
      <c r="S28" s="456">
        <f t="shared" si="12"/>
        <v>-11230</v>
      </c>
      <c r="T28" s="456">
        <f t="shared" ref="T28:W28" si="13">SUM(T29:T30)</f>
        <v>-13230</v>
      </c>
      <c r="U28" s="455">
        <f t="shared" si="13"/>
        <v>-11525</v>
      </c>
      <c r="V28" s="213">
        <f t="shared" si="13"/>
        <v>-8453</v>
      </c>
      <c r="W28" s="456">
        <f t="shared" si="13"/>
        <v>-11109</v>
      </c>
      <c r="X28" s="456">
        <f t="shared" ref="X28:AA28" si="14">SUM(X29:X30)</f>
        <v>-10402</v>
      </c>
      <c r="Y28" s="455">
        <f t="shared" si="14"/>
        <v>-8487</v>
      </c>
      <c r="Z28" s="213">
        <f t="shared" si="14"/>
        <v>-6153</v>
      </c>
      <c r="AA28" s="456">
        <f t="shared" si="14"/>
        <v>-5334</v>
      </c>
      <c r="AB28" s="456">
        <f t="shared" ref="AB28:AE28" si="15">SUM(AB29:AB30)</f>
        <v>-5569</v>
      </c>
      <c r="AC28" s="455">
        <f t="shared" si="15"/>
        <v>-5335</v>
      </c>
      <c r="AD28" s="213">
        <f t="shared" si="15"/>
        <v>-4563</v>
      </c>
      <c r="AE28" s="456">
        <f t="shared" si="15"/>
        <v>-4123</v>
      </c>
      <c r="AF28" s="456">
        <f t="shared" ref="AF28:AK28" si="16">SUM(AF29:AF30)</f>
        <v>-3828</v>
      </c>
      <c r="AG28" s="455">
        <f t="shared" si="16"/>
        <v>-4580</v>
      </c>
      <c r="AH28" s="213">
        <f t="shared" si="16"/>
        <v>-2786</v>
      </c>
      <c r="AI28" s="456">
        <f t="shared" si="16"/>
        <v>1941</v>
      </c>
      <c r="AJ28" s="456">
        <f t="shared" si="16"/>
        <v>-2883</v>
      </c>
      <c r="AK28" s="455">
        <f t="shared" si="16"/>
        <v>-2777</v>
      </c>
      <c r="AL28" s="213">
        <f t="shared" ref="AL28:AO28" si="17">SUM(AL29:AL30)</f>
        <v>-1304</v>
      </c>
      <c r="AM28" s="456">
        <f t="shared" si="17"/>
        <v>-1415</v>
      </c>
      <c r="AN28" s="456">
        <f t="shared" si="17"/>
        <v>0</v>
      </c>
      <c r="AO28" s="455">
        <f t="shared" si="17"/>
        <v>0</v>
      </c>
    </row>
    <row r="29" spans="1:45" s="208" customFormat="1" x14ac:dyDescent="0.25">
      <c r="A29" s="225"/>
      <c r="B29" s="321" t="s">
        <v>52</v>
      </c>
      <c r="C29" s="280">
        <v>-548</v>
      </c>
      <c r="D29" s="392">
        <v>-1022.5</v>
      </c>
      <c r="E29" s="393">
        <v>-1064.4000000000001</v>
      </c>
      <c r="F29" s="280">
        <v>-834.5</v>
      </c>
      <c r="G29" s="392">
        <v>-932.2</v>
      </c>
      <c r="H29" s="392">
        <v>-792.4</v>
      </c>
      <c r="I29" s="392">
        <v>-1965.3</v>
      </c>
      <c r="J29" s="280">
        <v>-1084.5999999999999</v>
      </c>
      <c r="K29" s="392">
        <v>-1444</v>
      </c>
      <c r="L29" s="392">
        <v>-1302.5</v>
      </c>
      <c r="M29" s="392">
        <v>-1769.7</v>
      </c>
      <c r="N29" s="457">
        <v>-1036</v>
      </c>
      <c r="O29" s="458">
        <v>-2678</v>
      </c>
      <c r="P29" s="458">
        <v>-1865</v>
      </c>
      <c r="Q29" s="459">
        <v>-2007</v>
      </c>
      <c r="R29" s="457">
        <v>-1618</v>
      </c>
      <c r="S29" s="458">
        <v>-1733</v>
      </c>
      <c r="T29" s="458">
        <v>-1820</v>
      </c>
      <c r="U29" s="459">
        <v>-2396</v>
      </c>
      <c r="V29" s="457">
        <v>-1797</v>
      </c>
      <c r="W29" s="458">
        <v>-2045</v>
      </c>
      <c r="X29" s="458">
        <v>-1413</v>
      </c>
      <c r="Y29" s="459">
        <v>-2203</v>
      </c>
      <c r="Z29" s="457">
        <v>-2133</v>
      </c>
      <c r="AA29" s="458">
        <v>-2032</v>
      </c>
      <c r="AB29" s="458">
        <v>-2510</v>
      </c>
      <c r="AC29" s="459">
        <v>-3005</v>
      </c>
      <c r="AD29" s="457">
        <v>-2752</v>
      </c>
      <c r="AE29" s="458">
        <v>-2371</v>
      </c>
      <c r="AF29" s="458">
        <v>-2033</v>
      </c>
      <c r="AG29" s="459">
        <v>-2689</v>
      </c>
      <c r="AH29" s="457">
        <v>-1337</v>
      </c>
      <c r="AI29" s="458">
        <v>1406</v>
      </c>
      <c r="AJ29" s="458">
        <v>-1259</v>
      </c>
      <c r="AK29" s="459">
        <v>-958</v>
      </c>
      <c r="AL29" s="457">
        <v>-1304</v>
      </c>
      <c r="AM29" s="458">
        <v>-1415</v>
      </c>
      <c r="AN29" s="458"/>
      <c r="AO29" s="459"/>
    </row>
    <row r="30" spans="1:45" s="208" customFormat="1" x14ac:dyDescent="0.25">
      <c r="A30" s="225"/>
      <c r="B30" s="321" t="s">
        <v>131</v>
      </c>
      <c r="C30" s="276">
        <v>-1024.4000000000001</v>
      </c>
      <c r="D30" s="244">
        <v>-1591.3</v>
      </c>
      <c r="E30" s="315">
        <v>-1761.2</v>
      </c>
      <c r="F30" s="276">
        <v>-1843.6</v>
      </c>
      <c r="G30" s="244">
        <v>-1943.3</v>
      </c>
      <c r="H30" s="244">
        <v>-1865.4</v>
      </c>
      <c r="I30" s="244">
        <v>-1544.2</v>
      </c>
      <c r="J30" s="276">
        <v>-2819.3</v>
      </c>
      <c r="K30" s="244">
        <v>-2984.7</v>
      </c>
      <c r="L30" s="244">
        <v>-3492.9</v>
      </c>
      <c r="M30" s="244">
        <v>-4671.6000000000004</v>
      </c>
      <c r="N30" s="361">
        <v>-3666</v>
      </c>
      <c r="O30" s="417">
        <v>-9586</v>
      </c>
      <c r="P30" s="417">
        <v>-4268</v>
      </c>
      <c r="Q30" s="431">
        <v>-6898</v>
      </c>
      <c r="R30" s="361">
        <v>-9183</v>
      </c>
      <c r="S30" s="417">
        <v>-9497</v>
      </c>
      <c r="T30" s="417">
        <v>-11410</v>
      </c>
      <c r="U30" s="431">
        <v>-9129</v>
      </c>
      <c r="V30" s="361">
        <v>-6656</v>
      </c>
      <c r="W30" s="417">
        <v>-9064</v>
      </c>
      <c r="X30" s="417">
        <v>-8989</v>
      </c>
      <c r="Y30" s="431">
        <v>-6284</v>
      </c>
      <c r="Z30" s="361">
        <v>-4020</v>
      </c>
      <c r="AA30" s="417">
        <v>-3302</v>
      </c>
      <c r="AB30" s="417">
        <v>-3059</v>
      </c>
      <c r="AC30" s="431">
        <v>-2330</v>
      </c>
      <c r="AD30" s="361">
        <v>-1811</v>
      </c>
      <c r="AE30" s="214">
        <v>-1752</v>
      </c>
      <c r="AF30" s="417">
        <v>-1795</v>
      </c>
      <c r="AG30" s="431">
        <v>-1891</v>
      </c>
      <c r="AH30" s="361">
        <v>-1449</v>
      </c>
      <c r="AI30" s="214">
        <v>535</v>
      </c>
      <c r="AJ30" s="417">
        <v>-1624</v>
      </c>
      <c r="AK30" s="431">
        <v>-1819</v>
      </c>
      <c r="AL30" s="699"/>
      <c r="AM30" s="706"/>
      <c r="AN30" s="417"/>
      <c r="AO30" s="431"/>
      <c r="AP30" s="698" t="s">
        <v>274</v>
      </c>
      <c r="AQ30" s="702"/>
      <c r="AR30" s="702"/>
      <c r="AS30" s="702"/>
    </row>
    <row r="31" spans="1:45" s="208" customFormat="1" x14ac:dyDescent="0.25">
      <c r="A31" s="225"/>
      <c r="B31" s="321"/>
      <c r="C31" s="280">
        <f t="shared" ref="C31:H31" si="18">+C28+C25</f>
        <v>374</v>
      </c>
      <c r="D31" s="392">
        <f t="shared" si="18"/>
        <v>789.5</v>
      </c>
      <c r="E31" s="393">
        <f t="shared" si="18"/>
        <v>986.30000000000018</v>
      </c>
      <c r="F31" s="280">
        <f t="shared" si="18"/>
        <v>987.5</v>
      </c>
      <c r="G31" s="392">
        <f t="shared" si="18"/>
        <v>899.90000000000009</v>
      </c>
      <c r="H31" s="392">
        <f t="shared" si="18"/>
        <v>685.5</v>
      </c>
      <c r="I31" s="392">
        <f t="shared" ref="I31:N31" si="19">+I28+I25</f>
        <v>1578.8999999999996</v>
      </c>
      <c r="J31" s="280">
        <f t="shared" si="19"/>
        <v>1481.7000000000003</v>
      </c>
      <c r="K31" s="392">
        <f t="shared" si="19"/>
        <v>1509.0999999999995</v>
      </c>
      <c r="L31" s="392">
        <f t="shared" si="19"/>
        <v>1825.6000000000004</v>
      </c>
      <c r="M31" s="392">
        <f t="shared" si="19"/>
        <v>2478.9000000000005</v>
      </c>
      <c r="N31" s="449">
        <f t="shared" si="19"/>
        <v>2074</v>
      </c>
      <c r="O31" s="450">
        <f t="shared" ref="O31:P31" si="20">+O28+O25</f>
        <v>3976</v>
      </c>
      <c r="P31" s="450">
        <f t="shared" si="20"/>
        <v>3231</v>
      </c>
      <c r="Q31" s="451">
        <f t="shared" ref="Q31:S31" si="21">+Q28+Q25</f>
        <v>3870</v>
      </c>
      <c r="R31" s="449">
        <f t="shared" si="21"/>
        <v>3302</v>
      </c>
      <c r="S31" s="450">
        <f t="shared" si="21"/>
        <v>3801</v>
      </c>
      <c r="T31" s="450">
        <f t="shared" ref="T31:W31" si="22">+T28+T25</f>
        <v>3048</v>
      </c>
      <c r="U31" s="451">
        <f t="shared" si="22"/>
        <v>2115</v>
      </c>
      <c r="V31" s="449">
        <f t="shared" si="22"/>
        <v>2322</v>
      </c>
      <c r="W31" s="450">
        <f t="shared" si="22"/>
        <v>2246</v>
      </c>
      <c r="X31" s="450">
        <f t="shared" ref="X31:AA31" si="23">+X28+X25</f>
        <v>1306</v>
      </c>
      <c r="Y31" s="451">
        <f t="shared" si="23"/>
        <v>1765</v>
      </c>
      <c r="Z31" s="449">
        <f t="shared" si="23"/>
        <v>494</v>
      </c>
      <c r="AA31" s="450">
        <f t="shared" si="23"/>
        <v>928</v>
      </c>
      <c r="AB31" s="450">
        <f t="shared" ref="AB31:AE31" si="24">+AB28+AB25</f>
        <v>582</v>
      </c>
      <c r="AC31" s="459">
        <f t="shared" si="24"/>
        <v>-584</v>
      </c>
      <c r="AD31" s="457">
        <f t="shared" si="24"/>
        <v>-104</v>
      </c>
      <c r="AE31" s="458">
        <f t="shared" si="24"/>
        <v>-20</v>
      </c>
      <c r="AF31" s="450">
        <f t="shared" ref="AF31:AK31" si="25">+AF28+AF25</f>
        <v>10</v>
      </c>
      <c r="AG31" s="459">
        <f t="shared" si="25"/>
        <v>-199</v>
      </c>
      <c r="AH31" s="457">
        <f t="shared" si="25"/>
        <v>-84</v>
      </c>
      <c r="AI31" s="458">
        <f t="shared" si="25"/>
        <v>5276</v>
      </c>
      <c r="AJ31" s="450">
        <f t="shared" si="25"/>
        <v>807</v>
      </c>
      <c r="AK31" s="459">
        <f t="shared" si="25"/>
        <v>1480</v>
      </c>
      <c r="AL31" s="457">
        <f t="shared" ref="AL31:AO31" si="26">+AL28+AL25</f>
        <v>810</v>
      </c>
      <c r="AM31" s="458">
        <f t="shared" si="26"/>
        <v>352</v>
      </c>
      <c r="AN31" s="450">
        <f t="shared" si="26"/>
        <v>0</v>
      </c>
      <c r="AO31" s="459">
        <f t="shared" si="26"/>
        <v>0</v>
      </c>
    </row>
    <row r="32" spans="1:45" s="208" customFormat="1" x14ac:dyDescent="0.25">
      <c r="A32" s="225"/>
      <c r="B32" s="321" t="s">
        <v>67</v>
      </c>
      <c r="C32" s="210">
        <v>-313</v>
      </c>
      <c r="D32" s="221">
        <v>-560.4</v>
      </c>
      <c r="E32" s="222">
        <v>-558</v>
      </c>
      <c r="F32" s="210">
        <v>-498.3</v>
      </c>
      <c r="G32" s="221">
        <v>-526.5</v>
      </c>
      <c r="H32" s="221">
        <v>-586.79999999999995</v>
      </c>
      <c r="I32" s="221">
        <v>-622.79999999999995</v>
      </c>
      <c r="J32" s="210">
        <v>-517.79999999999995</v>
      </c>
      <c r="K32" s="221">
        <v>-574.5</v>
      </c>
      <c r="L32" s="221">
        <v>-560.1</v>
      </c>
      <c r="M32" s="221">
        <v>-633.1</v>
      </c>
      <c r="N32" s="213">
        <v>-498</v>
      </c>
      <c r="O32" s="214">
        <v>-832</v>
      </c>
      <c r="P32" s="214">
        <v>-698</v>
      </c>
      <c r="Q32" s="259">
        <v>-700</v>
      </c>
      <c r="R32" s="213">
        <v>-583</v>
      </c>
      <c r="S32" s="214">
        <v>-590</v>
      </c>
      <c r="T32" s="214">
        <v>-631</v>
      </c>
      <c r="U32" s="259">
        <v>-798</v>
      </c>
      <c r="V32" s="213">
        <v>-685</v>
      </c>
      <c r="W32" s="214">
        <v>-739</v>
      </c>
      <c r="X32" s="214">
        <v>-580</v>
      </c>
      <c r="Y32" s="259">
        <v>-799</v>
      </c>
      <c r="Z32" s="213">
        <v>-707</v>
      </c>
      <c r="AA32" s="214">
        <v>-847</v>
      </c>
      <c r="AB32" s="214">
        <v>-958</v>
      </c>
      <c r="AC32" s="259">
        <v>-879</v>
      </c>
      <c r="AD32" s="213">
        <v>-541</v>
      </c>
      <c r="AE32" s="214">
        <v>-488</v>
      </c>
      <c r="AF32" s="214">
        <v>-321</v>
      </c>
      <c r="AG32" s="259">
        <v>-583</v>
      </c>
      <c r="AH32" s="213">
        <v>-181</v>
      </c>
      <c r="AI32" s="214">
        <v>-391</v>
      </c>
      <c r="AJ32" s="214">
        <v>-348</v>
      </c>
      <c r="AK32" s="259">
        <v>-331</v>
      </c>
      <c r="AL32" s="213">
        <v>-220</v>
      </c>
      <c r="AM32" s="214">
        <v>-276</v>
      </c>
      <c r="AN32" s="214"/>
      <c r="AO32" s="259"/>
    </row>
    <row r="33" spans="1:90" s="208" customFormat="1" x14ac:dyDescent="0.25">
      <c r="A33" s="225"/>
      <c r="B33" s="321" t="s">
        <v>68</v>
      </c>
      <c r="C33" s="210">
        <f>-61-107.3</f>
        <v>-168.3</v>
      </c>
      <c r="D33" s="221">
        <v>-344.7</v>
      </c>
      <c r="E33" s="222">
        <v>-995.9</v>
      </c>
      <c r="F33" s="210">
        <v>-462</v>
      </c>
      <c r="G33" s="221">
        <v>-410.8</v>
      </c>
      <c r="H33" s="221">
        <f>4.7-481.8-43.4</f>
        <v>-520.5</v>
      </c>
      <c r="I33" s="221">
        <f>-379.4-118.6</f>
        <v>-498</v>
      </c>
      <c r="J33" s="210">
        <v>-428</v>
      </c>
      <c r="K33" s="221">
        <v>-390</v>
      </c>
      <c r="L33" s="221">
        <f>-15.6-357-54.9</f>
        <v>-427.5</v>
      </c>
      <c r="M33" s="221">
        <f>51.4-330.1+23.4</f>
        <v>-255.30000000000004</v>
      </c>
      <c r="N33" s="213">
        <v>-345</v>
      </c>
      <c r="O33" s="214">
        <v>-417</v>
      </c>
      <c r="P33" s="214">
        <v>-319</v>
      </c>
      <c r="Q33" s="259">
        <v>-285</v>
      </c>
      <c r="R33" s="213">
        <v>-586</v>
      </c>
      <c r="S33" s="214">
        <v>-287</v>
      </c>
      <c r="T33" s="214">
        <v>492</v>
      </c>
      <c r="U33" s="259">
        <v>-722</v>
      </c>
      <c r="V33" s="213">
        <v>-497</v>
      </c>
      <c r="W33" s="214">
        <v>-112</v>
      </c>
      <c r="X33" s="214">
        <v>-502</v>
      </c>
      <c r="Y33" s="259">
        <v>-135</v>
      </c>
      <c r="Z33" s="213">
        <v>-254</v>
      </c>
      <c r="AA33" s="214">
        <v>-186</v>
      </c>
      <c r="AB33" s="214">
        <v>-237</v>
      </c>
      <c r="AC33" s="259">
        <v>-41426</v>
      </c>
      <c r="AD33" s="213">
        <v>485</v>
      </c>
      <c r="AE33" s="214">
        <v>-6134</v>
      </c>
      <c r="AF33" s="214">
        <v>-644</v>
      </c>
      <c r="AG33" s="259">
        <v>-1762</v>
      </c>
      <c r="AH33" s="213">
        <v>-434</v>
      </c>
      <c r="AI33" s="214">
        <v>-4856</v>
      </c>
      <c r="AJ33" s="214">
        <v>-398</v>
      </c>
      <c r="AK33" s="259">
        <v>-362</v>
      </c>
      <c r="AL33" s="213">
        <v>-375</v>
      </c>
      <c r="AM33" s="214">
        <v>-343</v>
      </c>
      <c r="AN33" s="214"/>
      <c r="AO33" s="259"/>
    </row>
    <row r="34" spans="1:90" s="208" customFormat="1" x14ac:dyDescent="0.25">
      <c r="A34" s="225"/>
      <c r="B34" s="250" t="s">
        <v>179</v>
      </c>
      <c r="C34" s="210">
        <v>0</v>
      </c>
      <c r="D34" s="221">
        <v>0</v>
      </c>
      <c r="E34" s="227">
        <v>0</v>
      </c>
      <c r="F34" s="289">
        <v>0</v>
      </c>
      <c r="G34" s="221">
        <v>0</v>
      </c>
      <c r="H34" s="221">
        <v>0</v>
      </c>
      <c r="I34" s="221">
        <v>0</v>
      </c>
      <c r="J34" s="210">
        <v>0</v>
      </c>
      <c r="K34" s="221">
        <v>0</v>
      </c>
      <c r="L34" s="221">
        <v>0</v>
      </c>
      <c r="M34" s="221">
        <v>0</v>
      </c>
      <c r="N34" s="433">
        <v>0</v>
      </c>
      <c r="O34" s="346">
        <v>0</v>
      </c>
      <c r="P34" s="346">
        <v>0</v>
      </c>
      <c r="Q34" s="448">
        <v>0</v>
      </c>
      <c r="R34" s="433">
        <v>0</v>
      </c>
      <c r="S34" s="346">
        <v>0</v>
      </c>
      <c r="T34" s="346">
        <v>0</v>
      </c>
      <c r="U34" s="448">
        <v>0</v>
      </c>
      <c r="V34" s="433">
        <v>0</v>
      </c>
      <c r="W34" s="346">
        <v>0</v>
      </c>
      <c r="X34" s="346">
        <v>0</v>
      </c>
      <c r="Y34" s="448">
        <v>0</v>
      </c>
      <c r="Z34" s="693">
        <v>0</v>
      </c>
      <c r="AA34" s="681">
        <v>0</v>
      </c>
      <c r="AB34" s="681">
        <v>0</v>
      </c>
      <c r="AC34" s="682">
        <v>0</v>
      </c>
      <c r="AD34" s="693">
        <v>0</v>
      </c>
      <c r="AE34" s="681">
        <v>0</v>
      </c>
      <c r="AF34" s="681">
        <v>0</v>
      </c>
      <c r="AG34" s="682">
        <v>0</v>
      </c>
      <c r="AH34" s="693">
        <v>0</v>
      </c>
      <c r="AI34" s="681">
        <v>0</v>
      </c>
      <c r="AJ34" s="681">
        <v>0</v>
      </c>
      <c r="AK34" s="682">
        <v>0</v>
      </c>
      <c r="AL34" s="693">
        <v>0</v>
      </c>
      <c r="AM34" s="681">
        <v>0</v>
      </c>
      <c r="AN34" s="681"/>
      <c r="AO34" s="682"/>
      <c r="CL34" s="208">
        <v>-165</v>
      </c>
    </row>
    <row r="35" spans="1:90" s="208" customFormat="1" x14ac:dyDescent="0.25">
      <c r="A35" s="225"/>
      <c r="B35" s="321" t="s">
        <v>69</v>
      </c>
      <c r="C35" s="210">
        <v>39.6</v>
      </c>
      <c r="D35" s="221">
        <v>5.2</v>
      </c>
      <c r="E35" s="227">
        <v>2773.4</v>
      </c>
      <c r="F35" s="210">
        <v>-52</v>
      </c>
      <c r="G35" s="221">
        <v>95.4</v>
      </c>
      <c r="H35" s="221">
        <v>60</v>
      </c>
      <c r="I35" s="221">
        <v>-1661</v>
      </c>
      <c r="J35" s="210">
        <v>1390.7</v>
      </c>
      <c r="K35" s="221">
        <v>-34.1</v>
      </c>
      <c r="L35" s="221">
        <v>-274.40000000000003</v>
      </c>
      <c r="M35" s="221">
        <v>-127.1</v>
      </c>
      <c r="N35" s="361">
        <v>-111</v>
      </c>
      <c r="O35" s="417">
        <v>-645</v>
      </c>
      <c r="P35" s="417">
        <v>-346</v>
      </c>
      <c r="Q35" s="431">
        <v>-555</v>
      </c>
      <c r="R35" s="361">
        <v>-205</v>
      </c>
      <c r="S35" s="417">
        <v>-573</v>
      </c>
      <c r="T35" s="417">
        <v>-276</v>
      </c>
      <c r="U35" s="431">
        <v>-456</v>
      </c>
      <c r="V35" s="361">
        <v>-190</v>
      </c>
      <c r="W35" s="417">
        <v>-35</v>
      </c>
      <c r="X35" s="417">
        <v>12</v>
      </c>
      <c r="Y35" s="431">
        <v>-127</v>
      </c>
      <c r="Z35" s="361">
        <v>93</v>
      </c>
      <c r="AA35" s="417">
        <v>726</v>
      </c>
      <c r="AB35" s="417">
        <v>106</v>
      </c>
      <c r="AC35" s="431">
        <v>6687</v>
      </c>
      <c r="AD35" s="361">
        <v>-5</v>
      </c>
      <c r="AE35" s="417">
        <v>-59</v>
      </c>
      <c r="AF35" s="417">
        <v>108</v>
      </c>
      <c r="AG35" s="431">
        <v>-131</v>
      </c>
      <c r="AH35" s="361">
        <v>-8</v>
      </c>
      <c r="AI35" s="417">
        <v>27</v>
      </c>
      <c r="AJ35" s="417">
        <v>-35</v>
      </c>
      <c r="AK35" s="431">
        <v>28</v>
      </c>
      <c r="AL35" s="361">
        <v>-28</v>
      </c>
      <c r="AM35" s="417">
        <v>-38</v>
      </c>
      <c r="AN35" s="417"/>
      <c r="AO35" s="431"/>
    </row>
    <row r="36" spans="1:90" s="1" customFormat="1" ht="15.75" thickBot="1" x14ac:dyDescent="0.3">
      <c r="A36" s="61"/>
      <c r="B36" s="75" t="s">
        <v>70</v>
      </c>
      <c r="C36" s="145">
        <f t="shared" ref="C36:H36" si="27">SUM(C31:C35)</f>
        <v>-67.700000000000017</v>
      </c>
      <c r="D36" s="146">
        <f t="shared" si="27"/>
        <v>-110.39999999999996</v>
      </c>
      <c r="E36" s="147">
        <f t="shared" si="27"/>
        <v>2205.8000000000002</v>
      </c>
      <c r="F36" s="145">
        <f t="shared" si="27"/>
        <v>-24.800000000000011</v>
      </c>
      <c r="G36" s="146">
        <f t="shared" si="27"/>
        <v>58.000000000000085</v>
      </c>
      <c r="H36" s="146">
        <f t="shared" si="27"/>
        <v>-361.79999999999995</v>
      </c>
      <c r="I36" s="146">
        <f t="shared" ref="I36:N36" si="28">SUM(I31:I35)</f>
        <v>-1202.9000000000003</v>
      </c>
      <c r="J36" s="145">
        <f t="shared" si="28"/>
        <v>1926.6000000000004</v>
      </c>
      <c r="K36" s="146">
        <f t="shared" si="28"/>
        <v>510.49999999999943</v>
      </c>
      <c r="L36" s="146">
        <f t="shared" si="28"/>
        <v>563.60000000000036</v>
      </c>
      <c r="M36" s="146">
        <f t="shared" si="28"/>
        <v>1463.4000000000008</v>
      </c>
      <c r="N36" s="436">
        <f t="shared" si="28"/>
        <v>1120</v>
      </c>
      <c r="O36" s="437">
        <f t="shared" ref="O36:P36" si="29">SUM(O31:O35)</f>
        <v>2082</v>
      </c>
      <c r="P36" s="437">
        <f t="shared" si="29"/>
        <v>1868</v>
      </c>
      <c r="Q36" s="453">
        <f t="shared" ref="Q36:S36" si="30">SUM(Q31:Q35)</f>
        <v>2330</v>
      </c>
      <c r="R36" s="436">
        <f t="shared" si="30"/>
        <v>1928</v>
      </c>
      <c r="S36" s="437">
        <f t="shared" si="30"/>
        <v>2351</v>
      </c>
      <c r="T36" s="437">
        <f t="shared" ref="T36:W36" si="31">SUM(T31:T35)</f>
        <v>2633</v>
      </c>
      <c r="U36" s="453">
        <f t="shared" si="31"/>
        <v>139</v>
      </c>
      <c r="V36" s="437">
        <f t="shared" si="31"/>
        <v>950</v>
      </c>
      <c r="W36" s="437">
        <f t="shared" si="31"/>
        <v>1360</v>
      </c>
      <c r="X36" s="437">
        <f t="shared" ref="X36:AA36" si="32">SUM(X31:X35)</f>
        <v>236</v>
      </c>
      <c r="Y36" s="453">
        <f t="shared" si="32"/>
        <v>704</v>
      </c>
      <c r="Z36" s="555">
        <f t="shared" si="32"/>
        <v>-374</v>
      </c>
      <c r="AA36" s="437">
        <f t="shared" si="32"/>
        <v>621</v>
      </c>
      <c r="AB36" s="555">
        <f t="shared" ref="AB36:AE36" si="33">SUM(AB31:AB35)</f>
        <v>-507</v>
      </c>
      <c r="AC36" s="563">
        <f t="shared" si="33"/>
        <v>-36202</v>
      </c>
      <c r="AD36" s="555">
        <f t="shared" si="33"/>
        <v>-165</v>
      </c>
      <c r="AE36" s="555">
        <f t="shared" si="33"/>
        <v>-6701</v>
      </c>
      <c r="AF36" s="555">
        <f t="shared" ref="AF36:AK36" si="34">SUM(AF31:AF35)</f>
        <v>-847</v>
      </c>
      <c r="AG36" s="563">
        <f t="shared" si="34"/>
        <v>-2675</v>
      </c>
      <c r="AH36" s="555">
        <f t="shared" si="34"/>
        <v>-707</v>
      </c>
      <c r="AI36" s="555">
        <f t="shared" si="34"/>
        <v>56</v>
      </c>
      <c r="AJ36" s="555">
        <f t="shared" si="34"/>
        <v>26</v>
      </c>
      <c r="AK36" s="563">
        <f t="shared" si="34"/>
        <v>815</v>
      </c>
      <c r="AL36" s="555">
        <f t="shared" ref="AL36:AO36" si="35">SUM(AL31:AL35)</f>
        <v>187</v>
      </c>
      <c r="AM36" s="555">
        <f t="shared" si="35"/>
        <v>-305</v>
      </c>
      <c r="AN36" s="555">
        <f t="shared" si="35"/>
        <v>0</v>
      </c>
      <c r="AO36" s="563">
        <f t="shared" si="35"/>
        <v>0</v>
      </c>
      <c r="AP36" s="924"/>
      <c r="AQ36" s="347"/>
      <c r="AR36" s="347"/>
      <c r="AS36" s="347"/>
      <c r="AT36" s="347"/>
      <c r="AU36" s="347"/>
      <c r="AV36" s="347"/>
      <c r="AW36" s="347"/>
      <c r="AX36" s="347"/>
      <c r="AY36" s="347"/>
      <c r="AZ36" s="347"/>
      <c r="BA36" s="347"/>
      <c r="BB36" s="347"/>
      <c r="BC36" s="347"/>
      <c r="BD36" s="347"/>
      <c r="BE36" s="347"/>
      <c r="BF36" s="347"/>
      <c r="BG36" s="347"/>
      <c r="BH36" s="347"/>
      <c r="BI36" s="347"/>
      <c r="BJ36" s="347"/>
      <c r="BK36" s="347"/>
      <c r="BL36" s="347"/>
      <c r="BM36" s="347"/>
      <c r="BN36" s="347"/>
      <c r="BO36" s="347"/>
      <c r="BP36" s="347"/>
      <c r="BQ36" s="347"/>
      <c r="BR36" s="347"/>
      <c r="BS36" s="347"/>
      <c r="BT36" s="347"/>
      <c r="BU36" s="347"/>
      <c r="BV36" s="347"/>
      <c r="BW36" s="347"/>
      <c r="BX36" s="347"/>
      <c r="BY36" s="347"/>
      <c r="BZ36" s="347"/>
      <c r="CA36" s="347"/>
      <c r="CB36" s="347"/>
      <c r="CC36" s="347"/>
      <c r="CD36" s="347"/>
      <c r="CE36" s="347"/>
      <c r="CF36" s="347"/>
      <c r="CG36" s="347"/>
      <c r="CH36" s="347"/>
      <c r="CI36" s="347"/>
      <c r="CJ36" s="347"/>
      <c r="CK36" s="347"/>
      <c r="CL36" s="347"/>
    </row>
    <row r="37" spans="1:90" s="208" customFormat="1" ht="9.9499999999999993" customHeight="1" thickTop="1" x14ac:dyDescent="0.25">
      <c r="A37" s="225"/>
      <c r="B37" s="321"/>
      <c r="C37" s="225"/>
      <c r="E37" s="227"/>
      <c r="F37" s="225"/>
      <c r="J37" s="225"/>
      <c r="N37" s="225"/>
      <c r="Q37" s="227"/>
      <c r="R37" s="225"/>
      <c r="U37" s="227"/>
      <c r="Y37" s="227"/>
      <c r="AC37" s="227"/>
      <c r="AG37" s="227"/>
      <c r="AK37" s="227"/>
      <c r="AO37" s="227"/>
    </row>
    <row r="38" spans="1:90" s="208" customFormat="1" x14ac:dyDescent="0.25">
      <c r="A38" s="225"/>
      <c r="B38" s="296" t="s">
        <v>134</v>
      </c>
      <c r="C38" s="225"/>
      <c r="E38" s="227"/>
      <c r="F38" s="225"/>
      <c r="J38" s="225"/>
      <c r="N38" s="225"/>
      <c r="Q38" s="227"/>
      <c r="R38" s="225"/>
      <c r="U38" s="227"/>
      <c r="Y38" s="227"/>
      <c r="AC38" s="227"/>
      <c r="AG38" s="227"/>
      <c r="AK38" s="227"/>
      <c r="AO38" s="227"/>
    </row>
    <row r="39" spans="1:90" s="208" customFormat="1" x14ac:dyDescent="0.25">
      <c r="A39" s="225"/>
      <c r="B39" s="208" t="s">
        <v>59</v>
      </c>
      <c r="C39" s="225">
        <v>114.5</v>
      </c>
      <c r="D39" s="208">
        <v>205.2</v>
      </c>
      <c r="E39" s="227">
        <v>218.9</v>
      </c>
      <c r="F39" s="288">
        <v>217.4</v>
      </c>
      <c r="G39" s="243">
        <v>222.8</v>
      </c>
      <c r="H39" s="243">
        <v>253.3</v>
      </c>
      <c r="I39" s="243">
        <v>306</v>
      </c>
      <c r="J39" s="288">
        <v>312.3</v>
      </c>
      <c r="K39" s="243">
        <v>273.8</v>
      </c>
      <c r="L39" s="243">
        <v>235.1</v>
      </c>
      <c r="M39" s="243">
        <v>215</v>
      </c>
      <c r="N39" s="360">
        <v>265</v>
      </c>
      <c r="O39" s="359">
        <v>352.5</v>
      </c>
      <c r="P39" s="359">
        <v>301.7</v>
      </c>
      <c r="Q39" s="454">
        <v>320.10000000000002</v>
      </c>
      <c r="R39" s="433">
        <v>305.5</v>
      </c>
      <c r="S39" s="346">
        <v>277</v>
      </c>
      <c r="T39" s="346">
        <v>296</v>
      </c>
      <c r="U39" s="448">
        <v>476</v>
      </c>
      <c r="V39" s="346">
        <v>637</v>
      </c>
      <c r="W39" s="346">
        <v>641</v>
      </c>
      <c r="X39" s="346">
        <v>723</v>
      </c>
      <c r="Y39" s="448">
        <v>887</v>
      </c>
      <c r="Z39" s="346">
        <v>976</v>
      </c>
      <c r="AA39" s="346">
        <v>1050</v>
      </c>
      <c r="AB39" s="346">
        <v>1049</v>
      </c>
      <c r="AC39" s="448">
        <v>813</v>
      </c>
      <c r="AD39" s="346">
        <v>601</v>
      </c>
      <c r="AE39" s="346">
        <v>618</v>
      </c>
      <c r="AF39" s="346">
        <v>418</v>
      </c>
      <c r="AG39" s="448">
        <v>283</v>
      </c>
      <c r="AH39" s="346">
        <v>320</v>
      </c>
      <c r="AI39" s="346">
        <v>294</v>
      </c>
      <c r="AJ39" s="346">
        <v>263</v>
      </c>
      <c r="AK39" s="448">
        <v>335</v>
      </c>
      <c r="AL39" s="346">
        <v>327</v>
      </c>
      <c r="AM39" s="346">
        <v>362</v>
      </c>
      <c r="AN39" s="346"/>
      <c r="AO39" s="448"/>
    </row>
    <row r="40" spans="1:90" s="208" customFormat="1" x14ac:dyDescent="0.25">
      <c r="A40" s="225"/>
      <c r="B40" s="208" t="s">
        <v>61</v>
      </c>
      <c r="C40" s="225">
        <v>46.7</v>
      </c>
      <c r="D40" s="208">
        <v>95.7</v>
      </c>
      <c r="E40" s="227">
        <v>84.5</v>
      </c>
      <c r="F40" s="288">
        <v>21.5</v>
      </c>
      <c r="G40" s="243">
        <v>77.3</v>
      </c>
      <c r="H40" s="243">
        <v>85.3</v>
      </c>
      <c r="I40" s="243">
        <v>64.2</v>
      </c>
      <c r="J40" s="289">
        <v>29</v>
      </c>
      <c r="K40" s="243">
        <v>37.200000000000003</v>
      </c>
      <c r="L40" s="243">
        <v>116</v>
      </c>
      <c r="M40" s="243">
        <v>139.5</v>
      </c>
      <c r="N40" s="360">
        <v>87</v>
      </c>
      <c r="O40" s="359">
        <v>215.6</v>
      </c>
      <c r="P40" s="359">
        <v>238.4</v>
      </c>
      <c r="Q40" s="454">
        <v>254</v>
      </c>
      <c r="R40" s="433">
        <v>250.2</v>
      </c>
      <c r="S40" s="346">
        <v>250</v>
      </c>
      <c r="T40" s="346">
        <v>143</v>
      </c>
      <c r="U40" s="448">
        <v>147</v>
      </c>
      <c r="V40" s="346">
        <v>166</v>
      </c>
      <c r="W40" s="346">
        <v>211</v>
      </c>
      <c r="X40" s="346">
        <v>293</v>
      </c>
      <c r="Y40" s="448">
        <v>513</v>
      </c>
      <c r="Z40" s="346">
        <v>367</v>
      </c>
      <c r="AA40" s="346">
        <v>418</v>
      </c>
      <c r="AB40" s="346">
        <v>602</v>
      </c>
      <c r="AC40" s="448">
        <v>792</v>
      </c>
      <c r="AD40" s="346">
        <v>209</v>
      </c>
      <c r="AE40" s="346">
        <v>182</v>
      </c>
      <c r="AF40" s="346">
        <v>102</v>
      </c>
      <c r="AG40" s="448">
        <v>118</v>
      </c>
      <c r="AH40" s="346">
        <v>46</v>
      </c>
      <c r="AI40" s="346">
        <v>75</v>
      </c>
      <c r="AJ40" s="346">
        <v>57</v>
      </c>
      <c r="AK40" s="448">
        <v>185</v>
      </c>
      <c r="AL40" s="346">
        <v>84</v>
      </c>
      <c r="AM40" s="346">
        <v>143</v>
      </c>
      <c r="AN40" s="346"/>
      <c r="AO40" s="448"/>
    </row>
    <row r="41" spans="1:90" s="208" customFormat="1" x14ac:dyDescent="0.25">
      <c r="A41" s="225"/>
      <c r="B41" s="208" t="s">
        <v>63</v>
      </c>
      <c r="C41" s="225">
        <v>168.5</v>
      </c>
      <c r="D41" s="208">
        <v>366.5</v>
      </c>
      <c r="E41" s="227">
        <v>353.3</v>
      </c>
      <c r="F41" s="288">
        <v>335.9</v>
      </c>
      <c r="G41" s="243">
        <v>331.9</v>
      </c>
      <c r="H41" s="243">
        <v>367.3</v>
      </c>
      <c r="I41" s="243">
        <v>539</v>
      </c>
      <c r="J41" s="288">
        <v>407.1</v>
      </c>
      <c r="K41" s="243">
        <v>535.1</v>
      </c>
      <c r="L41" s="243">
        <f>529.3+1.2</f>
        <v>530.5</v>
      </c>
      <c r="M41" s="243">
        <v>563.4</v>
      </c>
      <c r="N41" s="360">
        <v>646</v>
      </c>
      <c r="O41" s="359">
        <v>647.20000000000005</v>
      </c>
      <c r="P41" s="359">
        <v>620</v>
      </c>
      <c r="Q41" s="454">
        <v>471.3</v>
      </c>
      <c r="R41" s="433">
        <v>580.4</v>
      </c>
      <c r="S41" s="346">
        <v>637</v>
      </c>
      <c r="T41" s="346">
        <v>583</v>
      </c>
      <c r="U41" s="448">
        <v>611</v>
      </c>
      <c r="V41" s="346">
        <v>319</v>
      </c>
      <c r="W41" s="346">
        <v>211</v>
      </c>
      <c r="X41" s="346">
        <v>434</v>
      </c>
      <c r="Y41" s="448">
        <v>381</v>
      </c>
      <c r="Z41" s="346">
        <v>198</v>
      </c>
      <c r="AA41" s="346">
        <v>205</v>
      </c>
      <c r="AB41" s="346">
        <v>201</v>
      </c>
      <c r="AC41" s="448">
        <v>170</v>
      </c>
      <c r="AD41" s="346">
        <v>57</v>
      </c>
      <c r="AE41" s="346">
        <v>77</v>
      </c>
      <c r="AF41" s="346">
        <v>131</v>
      </c>
      <c r="AG41" s="448">
        <v>26</v>
      </c>
      <c r="AH41" s="693">
        <v>0</v>
      </c>
      <c r="AI41" s="346">
        <v>94</v>
      </c>
      <c r="AJ41" s="346">
        <v>76</v>
      </c>
      <c r="AK41" s="259">
        <v>-35</v>
      </c>
      <c r="AL41" s="693">
        <v>2</v>
      </c>
      <c r="AM41" s="346">
        <v>59</v>
      </c>
      <c r="AN41" s="346"/>
      <c r="AO41" s="259"/>
    </row>
    <row r="42" spans="1:90" s="1" customFormat="1" x14ac:dyDescent="0.25">
      <c r="A42" s="61"/>
      <c r="B42" s="1" t="s">
        <v>64</v>
      </c>
      <c r="C42" s="152">
        <f t="shared" ref="C42:H42" si="36">+C41+C40+C39</f>
        <v>329.7</v>
      </c>
      <c r="D42" s="153">
        <f t="shared" si="36"/>
        <v>667.4</v>
      </c>
      <c r="E42" s="154">
        <f t="shared" si="36"/>
        <v>656.7</v>
      </c>
      <c r="F42" s="152">
        <f t="shared" si="36"/>
        <v>574.79999999999995</v>
      </c>
      <c r="G42" s="153">
        <f t="shared" si="36"/>
        <v>632</v>
      </c>
      <c r="H42" s="153">
        <f t="shared" si="36"/>
        <v>705.90000000000009</v>
      </c>
      <c r="I42" s="153">
        <f t="shared" ref="I42:N42" si="37">+I41+I40+I39</f>
        <v>909.2</v>
      </c>
      <c r="J42" s="152">
        <f t="shared" si="37"/>
        <v>748.40000000000009</v>
      </c>
      <c r="K42" s="153">
        <f t="shared" si="37"/>
        <v>846.10000000000014</v>
      </c>
      <c r="L42" s="153">
        <f t="shared" si="37"/>
        <v>881.6</v>
      </c>
      <c r="M42" s="153">
        <f t="shared" si="37"/>
        <v>917.9</v>
      </c>
      <c r="N42" s="439">
        <f t="shared" si="37"/>
        <v>998</v>
      </c>
      <c r="O42" s="440">
        <f t="shared" ref="O42:P42" si="38">+O41+O40+O39</f>
        <v>1215.3000000000002</v>
      </c>
      <c r="P42" s="440">
        <f t="shared" si="38"/>
        <v>1160.0999999999999</v>
      </c>
      <c r="Q42" s="460">
        <f t="shared" ref="Q42:S42" si="39">+Q41+Q40+Q39</f>
        <v>1045.4000000000001</v>
      </c>
      <c r="R42" s="439">
        <f t="shared" si="39"/>
        <v>1136.0999999999999</v>
      </c>
      <c r="S42" s="440">
        <f t="shared" si="39"/>
        <v>1164</v>
      </c>
      <c r="T42" s="440">
        <f t="shared" ref="T42:W42" si="40">+T41+T40+T39</f>
        <v>1022</v>
      </c>
      <c r="U42" s="460">
        <f t="shared" si="40"/>
        <v>1234</v>
      </c>
      <c r="V42" s="440">
        <f t="shared" si="40"/>
        <v>1122</v>
      </c>
      <c r="W42" s="440">
        <f t="shared" si="40"/>
        <v>1063</v>
      </c>
      <c r="X42" s="440">
        <f t="shared" ref="X42:AA42" si="41">+X41+X40+X39</f>
        <v>1450</v>
      </c>
      <c r="Y42" s="460">
        <f t="shared" si="41"/>
        <v>1781</v>
      </c>
      <c r="Z42" s="440">
        <f t="shared" si="41"/>
        <v>1541</v>
      </c>
      <c r="AA42" s="440">
        <f t="shared" si="41"/>
        <v>1673</v>
      </c>
      <c r="AB42" s="440">
        <f t="shared" ref="AB42:AE42" si="42">+AB41+AB40+AB39</f>
        <v>1852</v>
      </c>
      <c r="AC42" s="460">
        <f t="shared" si="42"/>
        <v>1775</v>
      </c>
      <c r="AD42" s="440">
        <f t="shared" si="42"/>
        <v>867</v>
      </c>
      <c r="AE42" s="440">
        <f t="shared" si="42"/>
        <v>877</v>
      </c>
      <c r="AF42" s="440">
        <f t="shared" ref="AF42:AK42" si="43">+AF41+AF40+AF39</f>
        <v>651</v>
      </c>
      <c r="AG42" s="460">
        <f t="shared" si="43"/>
        <v>427</v>
      </c>
      <c r="AH42" s="440">
        <f t="shared" si="43"/>
        <v>366</v>
      </c>
      <c r="AI42" s="440">
        <f t="shared" si="43"/>
        <v>463</v>
      </c>
      <c r="AJ42" s="440">
        <f t="shared" si="43"/>
        <v>396</v>
      </c>
      <c r="AK42" s="460">
        <f t="shared" si="43"/>
        <v>485</v>
      </c>
      <c r="AL42" s="440">
        <f t="shared" ref="AL42:AO42" si="44">+AL41+AL40+AL39</f>
        <v>413</v>
      </c>
      <c r="AM42" s="440">
        <f t="shared" si="44"/>
        <v>564</v>
      </c>
      <c r="AN42" s="440">
        <f t="shared" si="44"/>
        <v>0</v>
      </c>
      <c r="AO42" s="460">
        <f t="shared" si="44"/>
        <v>0</v>
      </c>
      <c r="AP42" s="347"/>
      <c r="AQ42" s="347"/>
      <c r="AR42" s="347"/>
      <c r="AS42" s="347"/>
      <c r="AT42" s="347"/>
      <c r="AU42" s="347"/>
      <c r="AV42" s="347"/>
      <c r="AW42" s="347"/>
      <c r="AX42" s="347"/>
      <c r="AY42" s="347"/>
      <c r="AZ42" s="347"/>
      <c r="BA42" s="347"/>
      <c r="BB42" s="347"/>
      <c r="BC42" s="347"/>
      <c r="BD42" s="347"/>
      <c r="BE42" s="347"/>
      <c r="BF42" s="347"/>
      <c r="BG42" s="347"/>
      <c r="BH42" s="347"/>
      <c r="BI42" s="347"/>
      <c r="BJ42" s="347"/>
      <c r="BK42" s="347"/>
      <c r="BL42" s="347"/>
      <c r="BM42" s="347"/>
      <c r="BN42" s="347"/>
      <c r="BO42" s="347"/>
      <c r="BP42" s="347"/>
      <c r="BQ42" s="347"/>
      <c r="BR42" s="347"/>
      <c r="BS42" s="347"/>
      <c r="BT42" s="347"/>
      <c r="BU42" s="347"/>
      <c r="BV42" s="347"/>
      <c r="BW42" s="347"/>
      <c r="BX42" s="347"/>
      <c r="BY42" s="347"/>
      <c r="BZ42" s="347"/>
      <c r="CA42" s="347"/>
      <c r="CB42" s="347"/>
      <c r="CC42" s="347"/>
      <c r="CD42" s="347"/>
      <c r="CE42" s="347"/>
      <c r="CF42" s="347"/>
      <c r="CG42" s="347"/>
      <c r="CH42" s="347"/>
      <c r="CI42" s="347"/>
      <c r="CJ42" s="347"/>
      <c r="CK42" s="347"/>
      <c r="CL42" s="347"/>
    </row>
    <row r="43" spans="1:90" s="208" customFormat="1" x14ac:dyDescent="0.25">
      <c r="A43" s="225"/>
      <c r="B43" s="321"/>
      <c r="C43" s="225"/>
      <c r="E43" s="227"/>
      <c r="F43" s="225"/>
      <c r="J43" s="225"/>
      <c r="N43" s="225"/>
      <c r="Q43" s="227"/>
      <c r="R43" s="225"/>
      <c r="U43" s="227"/>
      <c r="Y43" s="227"/>
      <c r="AC43" s="227"/>
      <c r="AG43" s="227"/>
      <c r="AK43" s="227"/>
      <c r="AO43" s="227"/>
    </row>
    <row r="44" spans="1:90" s="208" customFormat="1" x14ac:dyDescent="0.25">
      <c r="A44" s="225"/>
      <c r="B44" s="296" t="s">
        <v>71</v>
      </c>
      <c r="C44" s="225"/>
      <c r="E44" s="227"/>
      <c r="F44" s="225"/>
      <c r="J44" s="225"/>
      <c r="N44" s="225"/>
      <c r="Q44" s="227"/>
      <c r="R44" s="225"/>
      <c r="U44" s="227"/>
      <c r="Y44" s="227"/>
      <c r="AC44" s="227"/>
      <c r="AG44" s="227"/>
      <c r="AK44" s="227"/>
      <c r="AO44" s="227"/>
    </row>
    <row r="45" spans="1:90" s="208" customFormat="1" x14ac:dyDescent="0.25">
      <c r="A45" s="225"/>
      <c r="B45" s="208" t="s">
        <v>117</v>
      </c>
      <c r="C45" s="226">
        <v>11242</v>
      </c>
      <c r="D45" s="253">
        <v>12047</v>
      </c>
      <c r="E45" s="352">
        <v>13360</v>
      </c>
      <c r="F45" s="211">
        <v>12289</v>
      </c>
      <c r="G45" s="242">
        <v>12225</v>
      </c>
      <c r="H45" s="242">
        <v>12592</v>
      </c>
      <c r="I45" s="242">
        <v>15394</v>
      </c>
      <c r="J45" s="211">
        <v>18283</v>
      </c>
      <c r="K45" s="242">
        <v>18232</v>
      </c>
      <c r="L45" s="242">
        <v>20362</v>
      </c>
      <c r="M45" s="242">
        <v>23684</v>
      </c>
      <c r="N45" s="211">
        <v>31569</v>
      </c>
      <c r="O45" s="242">
        <v>31116</v>
      </c>
      <c r="P45" s="242">
        <v>32095</v>
      </c>
      <c r="Q45" s="407">
        <v>31735</v>
      </c>
      <c r="R45" s="395">
        <v>31835</v>
      </c>
      <c r="S45" s="394">
        <v>34366</v>
      </c>
      <c r="T45" s="394">
        <v>30924</v>
      </c>
      <c r="U45" s="498">
        <v>26661</v>
      </c>
      <c r="V45" s="394">
        <v>31323</v>
      </c>
      <c r="W45" s="394">
        <v>28499</v>
      </c>
      <c r="X45" s="394">
        <v>30878</v>
      </c>
      <c r="Y45" s="499">
        <v>30608</v>
      </c>
      <c r="Z45" s="394">
        <v>25326</v>
      </c>
      <c r="AA45" s="394">
        <v>25378</v>
      </c>
      <c r="AB45" s="394">
        <v>22122</v>
      </c>
      <c r="AC45" s="499">
        <v>19545</v>
      </c>
      <c r="AD45" s="394">
        <v>18313</v>
      </c>
      <c r="AE45" s="394">
        <v>18273</v>
      </c>
      <c r="AF45" s="394">
        <v>17663</v>
      </c>
      <c r="AG45" s="499">
        <v>18166</v>
      </c>
      <c r="AH45" s="394">
        <v>17889</v>
      </c>
      <c r="AI45" s="394">
        <v>18272</v>
      </c>
      <c r="AJ45" s="394">
        <v>20886</v>
      </c>
      <c r="AK45" s="499">
        <v>26401</v>
      </c>
      <c r="AL45" s="394">
        <v>29717</v>
      </c>
      <c r="AM45" s="394">
        <v>25116</v>
      </c>
      <c r="AN45" s="394"/>
      <c r="AO45" s="499"/>
    </row>
    <row r="46" spans="1:90" s="208" customFormat="1" x14ac:dyDescent="0.25">
      <c r="A46" s="225"/>
      <c r="B46" s="208" t="s">
        <v>122</v>
      </c>
      <c r="C46" s="226">
        <v>850</v>
      </c>
      <c r="D46" s="253">
        <v>914</v>
      </c>
      <c r="E46" s="352">
        <v>980</v>
      </c>
      <c r="F46" s="211">
        <v>1027</v>
      </c>
      <c r="G46" s="242">
        <v>966</v>
      </c>
      <c r="H46" s="242">
        <v>896</v>
      </c>
      <c r="I46" s="242">
        <f t="shared" ref="I46:N46" si="45">I45/I55</f>
        <v>1075.7512229210342</v>
      </c>
      <c r="J46" s="211">
        <f t="shared" si="45"/>
        <v>1304.9964311206281</v>
      </c>
      <c r="K46" s="394">
        <f t="shared" si="45"/>
        <v>1266.9909659485754</v>
      </c>
      <c r="L46" s="394">
        <f t="shared" si="45"/>
        <v>1388.0027266530335</v>
      </c>
      <c r="M46" s="394">
        <f t="shared" si="45"/>
        <v>1608.9673913043478</v>
      </c>
      <c r="N46" s="395">
        <f t="shared" si="45"/>
        <v>2052.60078023407</v>
      </c>
      <c r="O46" s="394">
        <f t="shared" ref="O46:P46" si="46">O45/O55</f>
        <v>1733.4818941504179</v>
      </c>
      <c r="P46" s="394">
        <f t="shared" si="46"/>
        <v>1897.9893554109995</v>
      </c>
      <c r="Q46" s="408">
        <f t="shared" ref="Q46:S46" si="47">Q45/Q55</f>
        <v>2032.9916720051249</v>
      </c>
      <c r="R46" s="395">
        <f t="shared" si="47"/>
        <v>2128.0080213903743</v>
      </c>
      <c r="S46" s="394">
        <f t="shared" si="47"/>
        <v>2432.1302193913657</v>
      </c>
      <c r="T46" s="394">
        <f t="shared" ref="T46:W46" si="48">T45/T55</f>
        <v>2113.7388926862609</v>
      </c>
      <c r="U46" s="498">
        <f t="shared" si="48"/>
        <v>1728.988326848249</v>
      </c>
      <c r="V46" s="394">
        <f t="shared" si="48"/>
        <v>2058.0157687253613</v>
      </c>
      <c r="W46" s="394">
        <f t="shared" si="48"/>
        <v>1828.0307889672868</v>
      </c>
      <c r="X46" s="394">
        <f t="shared" ref="X46:AA46" si="49">X45/X55</f>
        <v>1811.0263929618768</v>
      </c>
      <c r="Y46" s="499">
        <f t="shared" si="49"/>
        <v>1738.1033503691085</v>
      </c>
      <c r="Z46" s="394">
        <f t="shared" si="49"/>
        <v>1426.0135135135133</v>
      </c>
      <c r="AA46" s="394">
        <f t="shared" si="49"/>
        <v>1360.0214362272241</v>
      </c>
      <c r="AB46" s="394">
        <f t="shared" ref="AB46:AE46" si="50">AB45/AB55</f>
        <v>1189.9946207638516</v>
      </c>
      <c r="AC46" s="499">
        <f t="shared" si="50"/>
        <v>1047.9892761394103</v>
      </c>
      <c r="AD46" s="394">
        <f t="shared" si="50"/>
        <v>970.99681866383889</v>
      </c>
      <c r="AE46" s="394">
        <f t="shared" si="50"/>
        <v>984.00646203554118</v>
      </c>
      <c r="AF46" s="394">
        <f t="shared" ref="AF46:AK46" si="51">AF45/AF55</f>
        <v>983.46325167037855</v>
      </c>
      <c r="AG46" s="499">
        <f t="shared" si="51"/>
        <v>1015.9955257270694</v>
      </c>
      <c r="AH46" s="394">
        <f t="shared" si="51"/>
        <v>968.01948051948045</v>
      </c>
      <c r="AI46" s="394">
        <f t="shared" si="51"/>
        <v>999.01585565882999</v>
      </c>
      <c r="AJ46" s="394">
        <f t="shared" si="51"/>
        <v>1184.0136054421769</v>
      </c>
      <c r="AK46" s="499">
        <f t="shared" si="51"/>
        <v>1543.0157802454705</v>
      </c>
      <c r="AL46" s="394">
        <f t="shared" ref="AL46:AO46" si="52">AL45/AL55</f>
        <v>1818.6658506731947</v>
      </c>
      <c r="AM46" s="394">
        <f t="shared" si="52"/>
        <v>1524.0291262135922</v>
      </c>
      <c r="AN46" s="394" t="e">
        <f t="shared" si="52"/>
        <v>#DIV/0!</v>
      </c>
      <c r="AO46" s="499" t="e">
        <f t="shared" si="52"/>
        <v>#DIV/0!</v>
      </c>
    </row>
    <row r="47" spans="1:90" s="208" customFormat="1" x14ac:dyDescent="0.25">
      <c r="A47" s="225"/>
      <c r="B47" s="208" t="s">
        <v>118</v>
      </c>
      <c r="C47" s="226">
        <v>5847</v>
      </c>
      <c r="D47" s="253">
        <v>7541</v>
      </c>
      <c r="E47" s="352">
        <v>7239</v>
      </c>
      <c r="F47" s="211">
        <v>5921</v>
      </c>
      <c r="G47" s="242">
        <v>6411</v>
      </c>
      <c r="H47" s="242">
        <v>8914</v>
      </c>
      <c r="I47" s="242">
        <v>7816</v>
      </c>
      <c r="J47" s="211">
        <v>10038</v>
      </c>
      <c r="K47" s="242">
        <v>9067</v>
      </c>
      <c r="L47" s="242">
        <v>10258</v>
      </c>
      <c r="M47" s="242">
        <v>10541</v>
      </c>
      <c r="N47" s="211">
        <v>12414</v>
      </c>
      <c r="O47" s="242">
        <v>13307</v>
      </c>
      <c r="P47" s="242">
        <v>13030</v>
      </c>
      <c r="Q47" s="407">
        <v>12538</v>
      </c>
      <c r="R47" s="395">
        <v>12755</v>
      </c>
      <c r="S47" s="394">
        <v>12928</v>
      </c>
      <c r="T47" s="394">
        <v>13123</v>
      </c>
      <c r="U47" s="498">
        <v>14682</v>
      </c>
      <c r="V47" s="394">
        <v>15287</v>
      </c>
      <c r="W47" s="394">
        <v>17993</v>
      </c>
      <c r="X47" s="394">
        <v>21085</v>
      </c>
      <c r="Y47" s="499">
        <v>21320</v>
      </c>
      <c r="Z47" s="394">
        <v>21432</v>
      </c>
      <c r="AA47" s="394">
        <v>17353</v>
      </c>
      <c r="AB47" s="394">
        <v>21384</v>
      </c>
      <c r="AC47" s="499">
        <v>25539</v>
      </c>
      <c r="AD47" s="394">
        <v>20189</v>
      </c>
      <c r="AE47" s="394">
        <v>19733</v>
      </c>
      <c r="AF47" s="394">
        <v>19549</v>
      </c>
      <c r="AG47" s="499">
        <v>25117</v>
      </c>
      <c r="AH47" s="394">
        <v>18472</v>
      </c>
      <c r="AI47" s="394">
        <v>20006</v>
      </c>
      <c r="AJ47" s="394">
        <v>18122</v>
      </c>
      <c r="AK47" s="499">
        <v>16080</v>
      </c>
      <c r="AL47" s="394">
        <v>18264</v>
      </c>
      <c r="AM47" s="394">
        <v>17859</v>
      </c>
      <c r="AN47" s="394"/>
      <c r="AO47" s="499"/>
    </row>
    <row r="48" spans="1:90" s="208" customFormat="1" x14ac:dyDescent="0.25">
      <c r="A48" s="225"/>
      <c r="B48" s="208" t="s">
        <v>119</v>
      </c>
      <c r="C48" s="226">
        <v>447</v>
      </c>
      <c r="D48" s="253">
        <v>572</v>
      </c>
      <c r="E48" s="352">
        <v>531</v>
      </c>
      <c r="F48" s="211">
        <v>495</v>
      </c>
      <c r="G48" s="242">
        <v>507</v>
      </c>
      <c r="H48" s="242">
        <v>634</v>
      </c>
      <c r="I48" s="358">
        <f t="shared" ref="I48:N48" si="53">I47/I55</f>
        <v>546.19147449336128</v>
      </c>
      <c r="J48" s="357">
        <f t="shared" si="53"/>
        <v>716.48822269807283</v>
      </c>
      <c r="K48" s="358">
        <f t="shared" si="53"/>
        <v>630.09034051424601</v>
      </c>
      <c r="L48" s="358">
        <f t="shared" si="53"/>
        <v>699.25017041581464</v>
      </c>
      <c r="M48" s="358">
        <f t="shared" si="53"/>
        <v>716.10054347826087</v>
      </c>
      <c r="N48" s="357">
        <f t="shared" si="53"/>
        <v>807.15214564369307</v>
      </c>
      <c r="O48" s="358">
        <f t="shared" ref="O48:P48" si="54">O47/O55</f>
        <v>741.33704735376045</v>
      </c>
      <c r="P48" s="358">
        <f t="shared" si="54"/>
        <v>770.54997043169726</v>
      </c>
      <c r="Q48" s="409">
        <f t="shared" ref="Q48:S48" si="55">Q47/Q55</f>
        <v>803.20307495195391</v>
      </c>
      <c r="R48" s="395">
        <f t="shared" si="55"/>
        <v>852.60695187165766</v>
      </c>
      <c r="S48" s="394">
        <f t="shared" si="55"/>
        <v>914.93276716206651</v>
      </c>
      <c r="T48" s="394">
        <f t="shared" ref="T48:W48" si="56">T47/T55</f>
        <v>896.99248120300751</v>
      </c>
      <c r="U48" s="498">
        <f t="shared" si="56"/>
        <v>952.14007782101169</v>
      </c>
      <c r="V48" s="394">
        <f t="shared" si="56"/>
        <v>1004.4021024967149</v>
      </c>
      <c r="W48" s="394">
        <f t="shared" si="56"/>
        <v>1154.1372674791533</v>
      </c>
      <c r="X48" s="394">
        <f t="shared" ref="X48:AA48" si="57">X47/X55</f>
        <v>1236.656891495601</v>
      </c>
      <c r="Y48" s="499">
        <f t="shared" si="57"/>
        <v>1210.6757524134016</v>
      </c>
      <c r="Z48" s="394">
        <f t="shared" si="57"/>
        <v>1206.7567567567567</v>
      </c>
      <c r="AA48" s="394">
        <f t="shared" si="57"/>
        <v>929.957127545552</v>
      </c>
      <c r="AB48" s="394">
        <f t="shared" ref="AB48:AE48" si="58">AB47/AB55</f>
        <v>1150.2958579881656</v>
      </c>
      <c r="AC48" s="499">
        <f t="shared" si="58"/>
        <v>1369.383378016086</v>
      </c>
      <c r="AD48" s="394">
        <f t="shared" si="58"/>
        <v>1070.4665959703075</v>
      </c>
      <c r="AE48" s="394">
        <f t="shared" si="58"/>
        <v>1062.6278944534195</v>
      </c>
      <c r="AF48" s="394">
        <f t="shared" ref="AF48:AK48" si="59">AF47/AF55</f>
        <v>1088.4743875278396</v>
      </c>
      <c r="AG48" s="499">
        <f t="shared" si="59"/>
        <v>1404.7539149888144</v>
      </c>
      <c r="AH48" s="394">
        <f t="shared" si="59"/>
        <v>999.56709956709949</v>
      </c>
      <c r="AI48" s="394">
        <f t="shared" si="59"/>
        <v>1093.8217605248769</v>
      </c>
      <c r="AJ48" s="394">
        <f t="shared" si="59"/>
        <v>1027.3242630385487</v>
      </c>
      <c r="AK48" s="499">
        <f t="shared" si="59"/>
        <v>939.80128579777909</v>
      </c>
      <c r="AL48" s="394">
        <f t="shared" ref="AL48:AO48" si="60">AL47/AL55</f>
        <v>1117.747858017136</v>
      </c>
      <c r="AM48" s="394">
        <f t="shared" si="60"/>
        <v>1083.6771844660193</v>
      </c>
      <c r="AN48" s="394" t="e">
        <f t="shared" si="60"/>
        <v>#DIV/0!</v>
      </c>
      <c r="AO48" s="499" t="e">
        <f t="shared" si="60"/>
        <v>#DIV/0!</v>
      </c>
    </row>
    <row r="49" spans="1:41" s="208" customFormat="1" ht="15" hidden="1" customHeight="1" x14ac:dyDescent="0.25">
      <c r="A49" s="225"/>
      <c r="B49" s="208" t="s">
        <v>120</v>
      </c>
      <c r="C49" s="226">
        <v>5566</v>
      </c>
      <c r="D49" s="253">
        <v>6038</v>
      </c>
      <c r="E49" s="218" t="s">
        <v>77</v>
      </c>
      <c r="F49" s="219" t="s">
        <v>77</v>
      </c>
      <c r="G49" s="219" t="s">
        <v>77</v>
      </c>
      <c r="H49" s="219" t="s">
        <v>77</v>
      </c>
      <c r="I49" s="219" t="s">
        <v>77</v>
      </c>
      <c r="J49" s="220" t="s">
        <v>77</v>
      </c>
      <c r="K49" s="219" t="s">
        <v>77</v>
      </c>
      <c r="L49" s="219" t="s">
        <v>77</v>
      </c>
      <c r="M49" s="219" t="s">
        <v>77</v>
      </c>
      <c r="N49" s="220" t="s">
        <v>77</v>
      </c>
      <c r="O49" s="219" t="s">
        <v>77</v>
      </c>
      <c r="P49" s="219" t="s">
        <v>77</v>
      </c>
      <c r="Q49" s="218" t="s">
        <v>77</v>
      </c>
      <c r="R49" s="500" t="s">
        <v>77</v>
      </c>
      <c r="S49" s="501" t="s">
        <v>77</v>
      </c>
      <c r="T49" s="501" t="s">
        <v>77</v>
      </c>
      <c r="U49" s="502" t="s">
        <v>77</v>
      </c>
      <c r="V49" s="501" t="s">
        <v>77</v>
      </c>
      <c r="W49" s="501" t="s">
        <v>77</v>
      </c>
      <c r="X49" s="501" t="s">
        <v>77</v>
      </c>
      <c r="Y49" s="499" t="s">
        <v>77</v>
      </c>
      <c r="Z49" s="501" t="s">
        <v>77</v>
      </c>
      <c r="AA49" s="501" t="s">
        <v>77</v>
      </c>
      <c r="AB49" s="501" t="s">
        <v>77</v>
      </c>
      <c r="AC49" s="499" t="s">
        <v>77</v>
      </c>
      <c r="AD49" s="501" t="s">
        <v>77</v>
      </c>
      <c r="AE49" s="501" t="s">
        <v>77</v>
      </c>
      <c r="AF49" s="501" t="s">
        <v>77</v>
      </c>
      <c r="AG49" s="499" t="s">
        <v>77</v>
      </c>
      <c r="AH49" s="501" t="s">
        <v>77</v>
      </c>
      <c r="AI49" s="501"/>
      <c r="AJ49" s="501"/>
      <c r="AK49" s="499"/>
      <c r="AL49" s="501" t="s">
        <v>77</v>
      </c>
      <c r="AM49" s="501"/>
      <c r="AN49" s="501"/>
      <c r="AO49" s="499"/>
    </row>
    <row r="50" spans="1:41" s="208" customFormat="1" ht="15" hidden="1" customHeight="1" x14ac:dyDescent="0.25">
      <c r="A50" s="225"/>
      <c r="B50" s="208" t="s">
        <v>121</v>
      </c>
      <c r="C50" s="226">
        <v>425</v>
      </c>
      <c r="D50" s="253">
        <v>458</v>
      </c>
      <c r="E50" s="218" t="s">
        <v>77</v>
      </c>
      <c r="F50" s="219" t="s">
        <v>77</v>
      </c>
      <c r="G50" s="219" t="s">
        <v>77</v>
      </c>
      <c r="H50" s="219" t="s">
        <v>77</v>
      </c>
      <c r="I50" s="219" t="s">
        <v>77</v>
      </c>
      <c r="J50" s="220" t="s">
        <v>77</v>
      </c>
      <c r="K50" s="219" t="s">
        <v>77</v>
      </c>
      <c r="L50" s="219" t="s">
        <v>77</v>
      </c>
      <c r="M50" s="219" t="s">
        <v>77</v>
      </c>
      <c r="N50" s="220" t="s">
        <v>77</v>
      </c>
      <c r="O50" s="219" t="s">
        <v>77</v>
      </c>
      <c r="P50" s="219" t="s">
        <v>77</v>
      </c>
      <c r="Q50" s="218" t="s">
        <v>77</v>
      </c>
      <c r="R50" s="500" t="s">
        <v>77</v>
      </c>
      <c r="S50" s="501" t="s">
        <v>77</v>
      </c>
      <c r="T50" s="501" t="s">
        <v>77</v>
      </c>
      <c r="U50" s="502" t="s">
        <v>77</v>
      </c>
      <c r="V50" s="501" t="s">
        <v>77</v>
      </c>
      <c r="W50" s="501" t="s">
        <v>77</v>
      </c>
      <c r="X50" s="501" t="s">
        <v>77</v>
      </c>
      <c r="Y50" s="499" t="s">
        <v>77</v>
      </c>
      <c r="Z50" s="501" t="s">
        <v>77</v>
      </c>
      <c r="AA50" s="501" t="s">
        <v>77</v>
      </c>
      <c r="AB50" s="501" t="s">
        <v>77</v>
      </c>
      <c r="AC50" s="499" t="s">
        <v>77</v>
      </c>
      <c r="AD50" s="501" t="s">
        <v>77</v>
      </c>
      <c r="AE50" s="501" t="s">
        <v>77</v>
      </c>
      <c r="AF50" s="501" t="s">
        <v>77</v>
      </c>
      <c r="AG50" s="499" t="s">
        <v>77</v>
      </c>
      <c r="AH50" s="501" t="s">
        <v>77</v>
      </c>
      <c r="AI50" s="501"/>
      <c r="AJ50" s="501"/>
      <c r="AK50" s="499"/>
      <c r="AL50" s="501" t="s">
        <v>77</v>
      </c>
      <c r="AM50" s="501"/>
      <c r="AN50" s="501"/>
      <c r="AO50" s="499"/>
    </row>
    <row r="51" spans="1:41" s="208" customFormat="1" x14ac:dyDescent="0.25">
      <c r="A51" s="225"/>
      <c r="B51" s="208" t="s">
        <v>141</v>
      </c>
      <c r="C51" s="226">
        <v>8134</v>
      </c>
      <c r="D51" s="253">
        <v>9162</v>
      </c>
      <c r="E51" s="352">
        <v>8656</v>
      </c>
      <c r="F51" s="211">
        <v>7559</v>
      </c>
      <c r="G51" s="242">
        <v>8526</v>
      </c>
      <c r="H51" s="242">
        <v>10789</v>
      </c>
      <c r="I51" s="242">
        <v>9180</v>
      </c>
      <c r="J51" s="211">
        <v>11671</v>
      </c>
      <c r="K51" s="242">
        <v>10365</v>
      </c>
      <c r="L51" s="242">
        <v>11603</v>
      </c>
      <c r="M51" s="242">
        <v>11747</v>
      </c>
      <c r="N51" s="211">
        <v>13756</v>
      </c>
      <c r="O51" s="242">
        <v>15038</v>
      </c>
      <c r="P51" s="242">
        <v>14803</v>
      </c>
      <c r="Q51" s="407">
        <v>13911</v>
      </c>
      <c r="R51" s="395">
        <v>13763</v>
      </c>
      <c r="S51" s="394">
        <v>14561</v>
      </c>
      <c r="T51" s="394">
        <v>14156</v>
      </c>
      <c r="U51" s="498">
        <v>17265</v>
      </c>
      <c r="V51" s="394">
        <v>18940</v>
      </c>
      <c r="W51" s="394">
        <v>23437</v>
      </c>
      <c r="X51" s="394">
        <v>30947</v>
      </c>
      <c r="Y51" s="499">
        <v>32613</v>
      </c>
      <c r="Z51" s="394">
        <v>33052</v>
      </c>
      <c r="AA51" s="394">
        <v>30280</v>
      </c>
      <c r="AB51" s="394">
        <v>35738</v>
      </c>
      <c r="AC51" s="499">
        <v>38300</v>
      </c>
      <c r="AD51" s="394">
        <v>25183</v>
      </c>
      <c r="AE51" s="394">
        <v>25096</v>
      </c>
      <c r="AF51" s="394">
        <v>22889</v>
      </c>
      <c r="AG51" s="499">
        <v>27890</v>
      </c>
      <c r="AH51" s="394">
        <v>21003</v>
      </c>
      <c r="AI51" s="394">
        <v>23375</v>
      </c>
      <c r="AJ51" s="394">
        <v>20555</v>
      </c>
      <c r="AK51" s="499">
        <v>21111</v>
      </c>
      <c r="AL51" s="394">
        <v>21101</v>
      </c>
      <c r="AM51" s="394">
        <v>23093</v>
      </c>
      <c r="AN51" s="394"/>
      <c r="AO51" s="499"/>
    </row>
    <row r="52" spans="1:41" s="208" customFormat="1" x14ac:dyDescent="0.25">
      <c r="A52" s="225"/>
      <c r="B52" s="208" t="s">
        <v>144</v>
      </c>
      <c r="C52" s="226">
        <v>622</v>
      </c>
      <c r="D52" s="253">
        <v>695</v>
      </c>
      <c r="E52" s="352">
        <v>629</v>
      </c>
      <c r="F52" s="211">
        <v>632</v>
      </c>
      <c r="G52" s="242">
        <v>674</v>
      </c>
      <c r="H52" s="242">
        <v>769</v>
      </c>
      <c r="I52" s="358">
        <f t="shared" ref="I52:N52" si="61">I51/I55</f>
        <v>641.5094339622641</v>
      </c>
      <c r="J52" s="357">
        <f t="shared" si="61"/>
        <v>833.04782298358316</v>
      </c>
      <c r="K52" s="358">
        <f t="shared" si="61"/>
        <v>720.29186935371786</v>
      </c>
      <c r="L52" s="358">
        <f t="shared" si="61"/>
        <v>790.93387866394005</v>
      </c>
      <c r="M52" s="358">
        <f t="shared" si="61"/>
        <v>798.02989130434776</v>
      </c>
      <c r="N52" s="357">
        <f t="shared" si="61"/>
        <v>894.40832249674895</v>
      </c>
      <c r="O52" s="358">
        <f t="shared" ref="O52:P52" si="62">O51/O55</f>
        <v>837.77158774373265</v>
      </c>
      <c r="P52" s="358">
        <f t="shared" si="62"/>
        <v>875.39917208752217</v>
      </c>
      <c r="Q52" s="409">
        <f t="shared" ref="Q52:S52" si="63">Q51/Q55</f>
        <v>891.15951313260734</v>
      </c>
      <c r="R52" s="395">
        <f t="shared" si="63"/>
        <v>919.98663101604268</v>
      </c>
      <c r="S52" s="394">
        <f t="shared" si="63"/>
        <v>1030.5024769992922</v>
      </c>
      <c r="T52" s="394">
        <f t="shared" ref="T52:W52" si="64">T51/T55</f>
        <v>967.60082023239909</v>
      </c>
      <c r="U52" s="498">
        <f t="shared" si="64"/>
        <v>1119.6498054474707</v>
      </c>
      <c r="V52" s="394">
        <f t="shared" si="64"/>
        <v>1244.4152431011826</v>
      </c>
      <c r="W52" s="394">
        <f t="shared" si="64"/>
        <v>1503.3354714560617</v>
      </c>
      <c r="X52" s="394">
        <f t="shared" ref="X52:AA52" si="65">X51/X55</f>
        <v>1815.0733137829911</v>
      </c>
      <c r="Y52" s="499">
        <f t="shared" si="65"/>
        <v>1851.9591141396934</v>
      </c>
      <c r="Z52" s="394">
        <f t="shared" si="65"/>
        <v>1861.036036036036</v>
      </c>
      <c r="AA52" s="394">
        <f t="shared" si="65"/>
        <v>1622.722400857449</v>
      </c>
      <c r="AB52" s="394">
        <f t="shared" ref="AB52:AE52" si="66">AB51/AB55</f>
        <v>1922.4314147391071</v>
      </c>
      <c r="AC52" s="499">
        <f t="shared" si="66"/>
        <v>2053.6193029490619</v>
      </c>
      <c r="AD52" s="394">
        <f t="shared" si="66"/>
        <v>1335.2598091198304</v>
      </c>
      <c r="AE52" s="394">
        <f t="shared" si="66"/>
        <v>1351.4270328486807</v>
      </c>
      <c r="AF52" s="394">
        <f t="shared" ref="AF52:AK52" si="67">AF51/AF55</f>
        <v>1274.4432071269487</v>
      </c>
      <c r="AG52" s="499">
        <f t="shared" si="67"/>
        <v>1559.8434004474275</v>
      </c>
      <c r="AH52" s="394">
        <f t="shared" si="67"/>
        <v>1136.5259740259739</v>
      </c>
      <c r="AI52" s="394">
        <f t="shared" si="67"/>
        <v>1278.0207763805358</v>
      </c>
      <c r="AJ52" s="394">
        <f t="shared" si="67"/>
        <v>1165.2494331065759</v>
      </c>
      <c r="AK52" s="499">
        <f t="shared" si="67"/>
        <v>1233.8398597311514</v>
      </c>
      <c r="AL52" s="394">
        <f t="shared" ref="AL52:AO52" si="68">AL51/AL55</f>
        <v>1291.3708690330477</v>
      </c>
      <c r="AM52" s="394">
        <f t="shared" si="68"/>
        <v>1401.2742718446602</v>
      </c>
      <c r="AN52" s="394" t="e">
        <f t="shared" si="68"/>
        <v>#DIV/0!</v>
      </c>
      <c r="AO52" s="499" t="e">
        <f t="shared" si="68"/>
        <v>#DIV/0!</v>
      </c>
    </row>
    <row r="53" spans="1:41" s="208" customFormat="1" x14ac:dyDescent="0.25">
      <c r="A53" s="225"/>
      <c r="B53" s="208" t="s">
        <v>142</v>
      </c>
      <c r="C53" s="253"/>
      <c r="D53" s="253"/>
      <c r="E53" s="352"/>
      <c r="F53" s="211">
        <v>9834</v>
      </c>
      <c r="G53" s="242">
        <v>10809</v>
      </c>
      <c r="H53" s="242">
        <v>13428</v>
      </c>
      <c r="I53" s="242">
        <v>12560</v>
      </c>
      <c r="J53" s="211">
        <v>14781</v>
      </c>
      <c r="K53" s="242">
        <v>13842</v>
      </c>
      <c r="L53" s="242">
        <v>15195</v>
      </c>
      <c r="M53" s="242">
        <v>15228</v>
      </c>
      <c r="N53" s="211">
        <v>18322</v>
      </c>
      <c r="O53" s="242">
        <v>19183</v>
      </c>
      <c r="P53" s="242">
        <v>18997</v>
      </c>
      <c r="Q53" s="407">
        <v>16904</v>
      </c>
      <c r="R53" s="394">
        <v>17523</v>
      </c>
      <c r="S53" s="394">
        <v>18986</v>
      </c>
      <c r="T53" s="394">
        <v>18195</v>
      </c>
      <c r="U53" s="498">
        <v>22047</v>
      </c>
      <c r="V53" s="394">
        <v>21546</v>
      </c>
      <c r="W53" s="394">
        <v>25397</v>
      </c>
      <c r="X53" s="394">
        <v>36000</v>
      </c>
      <c r="Y53" s="608">
        <v>36234</v>
      </c>
      <c r="Z53" s="394">
        <v>35018</v>
      </c>
      <c r="AA53" s="394">
        <v>32235</v>
      </c>
      <c r="AB53" s="394">
        <v>37642</v>
      </c>
      <c r="AC53" s="499">
        <v>39763</v>
      </c>
      <c r="AD53" s="394">
        <v>25648</v>
      </c>
      <c r="AE53" s="394">
        <v>25909</v>
      </c>
      <c r="AF53" s="394">
        <v>24112</v>
      </c>
      <c r="AG53" s="499">
        <v>28259</v>
      </c>
      <c r="AH53" s="394">
        <v>20961</v>
      </c>
      <c r="AI53" s="394">
        <v>24836</v>
      </c>
      <c r="AJ53" s="394">
        <v>21716</v>
      </c>
      <c r="AK53" s="499">
        <v>21183</v>
      </c>
      <c r="AL53" s="394">
        <v>21130</v>
      </c>
      <c r="AM53" s="394">
        <v>24100</v>
      </c>
      <c r="AN53" s="394"/>
      <c r="AO53" s="499"/>
    </row>
    <row r="54" spans="1:41" s="208" customFormat="1" x14ac:dyDescent="0.25">
      <c r="A54" s="225"/>
      <c r="B54" s="208" t="s">
        <v>143</v>
      </c>
      <c r="C54" s="253"/>
      <c r="D54" s="253"/>
      <c r="E54" s="352"/>
      <c r="F54" s="211">
        <f>+F53/(F55)</f>
        <v>822.2408026755852</v>
      </c>
      <c r="G54" s="242">
        <f>+G53/(G55)</f>
        <v>854.46640316205526</v>
      </c>
      <c r="H54" s="242">
        <v>956</v>
      </c>
      <c r="I54" s="242">
        <f>+I53/(I55)</f>
        <v>877.70789657582111</v>
      </c>
      <c r="J54" s="211">
        <f>+J53/(J55)-1</f>
        <v>1054.0321199143468</v>
      </c>
      <c r="K54" s="359">
        <f t="shared" ref="K54:P54" si="69">+K53/(K55)</f>
        <v>961.9179986101459</v>
      </c>
      <c r="L54" s="394">
        <f t="shared" si="69"/>
        <v>1035.7873210633948</v>
      </c>
      <c r="M54" s="394">
        <f t="shared" si="69"/>
        <v>1034.5108695652173</v>
      </c>
      <c r="N54" s="395">
        <f t="shared" si="69"/>
        <v>1191.2873862158647</v>
      </c>
      <c r="O54" s="394">
        <f t="shared" si="69"/>
        <v>1068.6908077994428</v>
      </c>
      <c r="P54" s="394">
        <f t="shared" si="69"/>
        <v>1123.418095801301</v>
      </c>
      <c r="Q54" s="408">
        <f t="shared" ref="Q54:S54" si="70">+Q53/(Q55)</f>
        <v>1082.8955797565663</v>
      </c>
      <c r="R54" s="394">
        <f t="shared" si="70"/>
        <v>1171.3235294117646</v>
      </c>
      <c r="S54" s="394">
        <f t="shared" si="70"/>
        <v>1343.665958952583</v>
      </c>
      <c r="T54" s="394">
        <f t="shared" ref="T54:W54" si="71">+T53/(T55)</f>
        <v>1243.6773752563226</v>
      </c>
      <c r="U54" s="498">
        <f t="shared" si="71"/>
        <v>1429.7665369649806</v>
      </c>
      <c r="V54" s="394">
        <f t="shared" si="71"/>
        <v>1415.6373193166885</v>
      </c>
      <c r="W54" s="394">
        <f t="shared" si="71"/>
        <v>1629.0570878768442</v>
      </c>
      <c r="X54" s="394">
        <f t="shared" ref="X54:Z54" si="72">+X53/(X55)</f>
        <v>2111.4369501466276</v>
      </c>
      <c r="Y54" s="608">
        <f t="shared" si="72"/>
        <v>2057.5809199318569</v>
      </c>
      <c r="Z54" s="394">
        <f t="shared" si="72"/>
        <v>1971.734234234234</v>
      </c>
      <c r="AA54" s="394">
        <f>+AA53/(AA55)+1</f>
        <v>1728.4919614147909</v>
      </c>
      <c r="AB54" s="394">
        <f t="shared" ref="AB54:AD54" si="73">+AB53/(AB55)</f>
        <v>2024.8520710059172</v>
      </c>
      <c r="AC54" s="499">
        <f t="shared" si="73"/>
        <v>2132.064343163539</v>
      </c>
      <c r="AD54" s="394">
        <f t="shared" si="73"/>
        <v>1359.915164369035</v>
      </c>
      <c r="AE54" s="394">
        <f>+AE53/(AE55)</f>
        <v>1395.20732364028</v>
      </c>
      <c r="AF54" s="394">
        <f t="shared" ref="AF54" si="74">+AF53/(AF55)</f>
        <v>1342.5389755011136</v>
      </c>
      <c r="AG54" s="499">
        <f>+AG53/(AG55)+1</f>
        <v>1581.4809843400449</v>
      </c>
      <c r="AH54" s="394">
        <f t="shared" ref="AH54:AK54" si="75">+AH53/(AH55)</f>
        <v>1134.2532467532467</v>
      </c>
      <c r="AI54" s="394">
        <f t="shared" si="75"/>
        <v>1357.9004920721707</v>
      </c>
      <c r="AJ54" s="394">
        <f t="shared" si="75"/>
        <v>1231.0657596371882</v>
      </c>
      <c r="AK54" s="499">
        <f t="shared" si="75"/>
        <v>1238.0479251899474</v>
      </c>
      <c r="AL54" s="394">
        <f t="shared" ref="AL54:AO54" si="76">+AL53/(AL55)</f>
        <v>1293.1456548347614</v>
      </c>
      <c r="AM54" s="394">
        <f t="shared" si="76"/>
        <v>1462.3786407766991</v>
      </c>
      <c r="AN54" s="394" t="e">
        <f t="shared" si="76"/>
        <v>#DIV/0!</v>
      </c>
      <c r="AO54" s="499" t="e">
        <f t="shared" si="76"/>
        <v>#DIV/0!</v>
      </c>
    </row>
    <row r="55" spans="1:41" s="208" customFormat="1" ht="15" customHeight="1" x14ac:dyDescent="0.25">
      <c r="A55" s="225"/>
      <c r="B55" s="208" t="s">
        <v>83</v>
      </c>
      <c r="C55" s="253"/>
      <c r="D55" s="253"/>
      <c r="E55" s="352"/>
      <c r="F55" s="288">
        <v>11.96</v>
      </c>
      <c r="G55" s="243">
        <v>12.65</v>
      </c>
      <c r="H55" s="243">
        <v>14.05</v>
      </c>
      <c r="I55" s="243">
        <v>14.31</v>
      </c>
      <c r="J55" s="288">
        <v>14.01</v>
      </c>
      <c r="K55" s="243">
        <v>14.39</v>
      </c>
      <c r="L55" s="243">
        <v>14.67</v>
      </c>
      <c r="M55" s="243">
        <v>14.72</v>
      </c>
      <c r="N55" s="288">
        <v>15.38</v>
      </c>
      <c r="O55" s="243">
        <v>17.95</v>
      </c>
      <c r="P55" s="243">
        <v>16.91</v>
      </c>
      <c r="Q55" s="326">
        <v>15.61</v>
      </c>
      <c r="R55" s="503">
        <v>14.96</v>
      </c>
      <c r="S55" s="503">
        <v>14.13</v>
      </c>
      <c r="T55" s="503">
        <v>14.63</v>
      </c>
      <c r="U55" s="504">
        <v>15.42</v>
      </c>
      <c r="V55" s="503">
        <v>15.22</v>
      </c>
      <c r="W55" s="503">
        <v>15.59</v>
      </c>
      <c r="X55" s="503">
        <v>17.05</v>
      </c>
      <c r="Y55" s="609">
        <v>17.61</v>
      </c>
      <c r="Z55" s="503">
        <v>17.760000000000002</v>
      </c>
      <c r="AA55" s="503">
        <v>18.66</v>
      </c>
      <c r="AB55" s="297">
        <v>18.59</v>
      </c>
      <c r="AC55" s="505">
        <v>18.649999999999999</v>
      </c>
      <c r="AD55" s="503">
        <v>18.86</v>
      </c>
      <c r="AE55" s="297">
        <v>18.57</v>
      </c>
      <c r="AF55" s="297">
        <v>17.96</v>
      </c>
      <c r="AG55" s="326">
        <v>17.88</v>
      </c>
      <c r="AH55" s="301">
        <v>18.48</v>
      </c>
      <c r="AI55" s="297">
        <v>18.29</v>
      </c>
      <c r="AJ55" s="297">
        <v>17.64</v>
      </c>
      <c r="AK55" s="326">
        <v>17.11</v>
      </c>
      <c r="AL55" s="301">
        <v>16.34</v>
      </c>
      <c r="AM55" s="297">
        <v>16.48</v>
      </c>
      <c r="AN55" s="297"/>
      <c r="AO55" s="326"/>
    </row>
    <row r="56" spans="1:41" s="208" customFormat="1" ht="9.9499999999999993" customHeight="1" x14ac:dyDescent="0.25">
      <c r="A56" s="307"/>
      <c r="B56" s="313"/>
      <c r="C56" s="307"/>
      <c r="D56" s="313"/>
      <c r="E56" s="305"/>
      <c r="F56" s="307"/>
      <c r="G56" s="313"/>
      <c r="H56" s="313"/>
      <c r="I56" s="313"/>
      <c r="J56" s="307"/>
      <c r="K56" s="313"/>
      <c r="L56" s="313"/>
      <c r="M56" s="313"/>
      <c r="N56" s="307"/>
      <c r="O56" s="313"/>
      <c r="P56" s="313"/>
      <c r="Q56" s="305"/>
      <c r="R56" s="307"/>
      <c r="S56" s="313"/>
      <c r="T56" s="313"/>
      <c r="U56" s="305"/>
      <c r="V56" s="313"/>
      <c r="W56" s="313"/>
      <c r="X56" s="313"/>
      <c r="Y56" s="305"/>
      <c r="Z56" s="313"/>
      <c r="AA56" s="313"/>
      <c r="AB56" s="313"/>
      <c r="AC56" s="305"/>
      <c r="AD56" s="313"/>
      <c r="AE56" s="313"/>
      <c r="AF56" s="313"/>
      <c r="AG56" s="305"/>
      <c r="AH56" s="313"/>
      <c r="AI56" s="313"/>
      <c r="AJ56" s="313"/>
      <c r="AK56" s="305"/>
      <c r="AL56" s="313"/>
      <c r="AM56" s="313"/>
      <c r="AN56" s="313"/>
      <c r="AO56" s="305"/>
    </row>
    <row r="57" spans="1:41" s="208" customFormat="1" ht="15" customHeight="1" x14ac:dyDescent="0.25">
      <c r="C57" s="348"/>
      <c r="F57" s="348"/>
      <c r="J57" s="348"/>
      <c r="N57" s="225"/>
      <c r="Q57" s="227"/>
      <c r="R57" s="225"/>
      <c r="U57" s="227"/>
      <c r="Y57" s="227"/>
      <c r="AC57" s="227"/>
      <c r="AG57" s="227"/>
      <c r="AK57" s="227"/>
      <c r="AO57" s="227"/>
    </row>
    <row r="58" spans="1:41" ht="21" x14ac:dyDescent="0.35">
      <c r="A58" s="231"/>
      <c r="B58" s="232" t="s">
        <v>168</v>
      </c>
      <c r="C58" s="233"/>
      <c r="D58" s="233"/>
      <c r="E58" s="234"/>
      <c r="F58" s="233"/>
      <c r="G58" s="235"/>
      <c r="H58" s="235"/>
      <c r="I58" s="235"/>
      <c r="J58" s="235"/>
      <c r="K58" s="235"/>
      <c r="L58" s="235"/>
      <c r="M58" s="235"/>
      <c r="N58" s="271"/>
      <c r="O58" s="235"/>
      <c r="P58" s="235"/>
      <c r="Q58" s="410"/>
      <c r="R58" s="235"/>
      <c r="S58" s="235"/>
      <c r="T58" s="235"/>
      <c r="U58" s="410"/>
      <c r="V58" s="235"/>
      <c r="W58" s="235"/>
      <c r="X58" s="235"/>
      <c r="Y58" s="410"/>
      <c r="Z58" s="235"/>
      <c r="AA58" s="235"/>
      <c r="AB58" s="235"/>
      <c r="AC58" s="410"/>
      <c r="AD58" s="235"/>
      <c r="AE58" s="235"/>
      <c r="AF58" s="235"/>
      <c r="AG58" s="410"/>
      <c r="AH58" s="235"/>
      <c r="AI58" s="235"/>
      <c r="AJ58" s="235"/>
      <c r="AK58" s="410"/>
      <c r="AL58" s="235"/>
      <c r="AM58" s="235"/>
      <c r="AN58" s="235"/>
      <c r="AO58" s="410"/>
    </row>
    <row r="59" spans="1:41" s="208" customFormat="1" x14ac:dyDescent="0.25">
      <c r="C59" s="225"/>
      <c r="F59" s="225"/>
      <c r="J59" s="225"/>
      <c r="N59" s="225"/>
      <c r="Q59" s="227"/>
      <c r="R59" s="225"/>
      <c r="U59" s="227"/>
      <c r="Y59" s="227"/>
      <c r="AC59" s="227"/>
      <c r="AG59" s="227"/>
      <c r="AK59" s="227"/>
      <c r="AO59" s="227"/>
    </row>
    <row r="60" spans="1:41" s="208" customFormat="1" x14ac:dyDescent="0.25">
      <c r="B60" s="396" t="s">
        <v>145</v>
      </c>
      <c r="C60" s="238">
        <v>21260</v>
      </c>
      <c r="D60" s="397">
        <v>30943</v>
      </c>
      <c r="E60" s="397">
        <v>33035.001488690628</v>
      </c>
      <c r="F60" s="238">
        <v>33189.349498805241</v>
      </c>
      <c r="G60" s="397">
        <v>32762.477181635608</v>
      </c>
      <c r="H60" s="397">
        <v>31865.913713116828</v>
      </c>
      <c r="I60" s="397">
        <v>36080.494382257668</v>
      </c>
      <c r="J60" s="238">
        <v>29464.434445960196</v>
      </c>
      <c r="K60" s="397">
        <v>34631</v>
      </c>
      <c r="L60" s="397">
        <v>33166</v>
      </c>
      <c r="M60" s="397">
        <v>36215</v>
      </c>
      <c r="N60" s="238">
        <v>31794</v>
      </c>
      <c r="O60" s="397">
        <v>34758</v>
      </c>
      <c r="P60" s="397">
        <v>33138</v>
      </c>
      <c r="Q60" s="411">
        <f>35424+1</f>
        <v>35425</v>
      </c>
      <c r="R60" s="238">
        <v>34983</v>
      </c>
      <c r="S60" s="397">
        <v>32674</v>
      </c>
      <c r="T60" s="397">
        <v>32504</v>
      </c>
      <c r="U60" s="411">
        <v>28979</v>
      </c>
      <c r="V60" s="397">
        <v>27858</v>
      </c>
      <c r="W60" s="397">
        <v>24512</v>
      </c>
      <c r="X60" s="397">
        <v>20128</v>
      </c>
      <c r="Y60" s="411">
        <v>24052</v>
      </c>
      <c r="Z60" s="397">
        <v>23782</v>
      </c>
      <c r="AA60" s="397">
        <v>23471</v>
      </c>
      <c r="AB60" s="397">
        <v>24196</v>
      </c>
      <c r="AC60" s="411">
        <v>26235</v>
      </c>
      <c r="AD60" s="397">
        <v>27820</v>
      </c>
      <c r="AE60" s="397">
        <v>26420</v>
      </c>
      <c r="AF60" s="397">
        <v>25317</v>
      </c>
      <c r="AG60" s="411">
        <v>17206</v>
      </c>
      <c r="AH60" s="397">
        <v>16281</v>
      </c>
      <c r="AI60" s="397">
        <v>15464</v>
      </c>
      <c r="AJ60" s="397">
        <v>16278</v>
      </c>
      <c r="AK60" s="411">
        <v>15573</v>
      </c>
      <c r="AL60" s="397">
        <v>15253</v>
      </c>
      <c r="AM60" s="397">
        <v>15584</v>
      </c>
      <c r="AN60" s="397"/>
      <c r="AO60" s="411"/>
    </row>
    <row r="61" spans="1:41" s="208" customFormat="1" x14ac:dyDescent="0.25">
      <c r="B61" s="227" t="s">
        <v>146</v>
      </c>
      <c r="C61" s="226">
        <v>72465</v>
      </c>
      <c r="D61" s="398">
        <v>104642</v>
      </c>
      <c r="E61" s="398">
        <v>114010.67120109985</v>
      </c>
      <c r="F61" s="226">
        <v>115359.70706067962</v>
      </c>
      <c r="G61" s="398">
        <v>112647.90109097301</v>
      </c>
      <c r="H61" s="398">
        <v>107312.1336336867</v>
      </c>
      <c r="I61" s="398">
        <v>123390.01531004725</v>
      </c>
      <c r="J61" s="226">
        <v>101434.05738553742</v>
      </c>
      <c r="K61" s="253">
        <v>119243</v>
      </c>
      <c r="L61" s="253">
        <v>114187</v>
      </c>
      <c r="M61" s="253">
        <v>125634</v>
      </c>
      <c r="N61" s="226">
        <v>109791</v>
      </c>
      <c r="O61" s="253">
        <v>121397</v>
      </c>
      <c r="P61" s="253">
        <v>114697</v>
      </c>
      <c r="Q61" s="352">
        <f>122066+1</f>
        <v>122067</v>
      </c>
      <c r="R61" s="226">
        <v>119367</v>
      </c>
      <c r="S61" s="253">
        <v>111277</v>
      </c>
      <c r="T61" s="253">
        <v>111821</v>
      </c>
      <c r="U61" s="352">
        <v>98795</v>
      </c>
      <c r="V61" s="253">
        <v>94531</v>
      </c>
      <c r="W61" s="253">
        <v>83138</v>
      </c>
      <c r="X61" s="253">
        <v>65761</v>
      </c>
      <c r="Y61" s="352">
        <v>81153</v>
      </c>
      <c r="Z61" s="253">
        <v>76908</v>
      </c>
      <c r="AA61" s="253">
        <v>81352</v>
      </c>
      <c r="AB61" s="253">
        <v>81350</v>
      </c>
      <c r="AC61" s="352">
        <v>89978</v>
      </c>
      <c r="AD61" s="253">
        <v>94723</v>
      </c>
      <c r="AE61" s="253">
        <v>89176</v>
      </c>
      <c r="AF61" s="253">
        <v>86659</v>
      </c>
      <c r="AG61" s="352">
        <v>58521</v>
      </c>
      <c r="AH61" s="253">
        <v>55710</v>
      </c>
      <c r="AI61" s="253">
        <v>53669</v>
      </c>
      <c r="AJ61" s="253">
        <v>56893</v>
      </c>
      <c r="AK61" s="352">
        <v>54201</v>
      </c>
      <c r="AL61" s="253">
        <v>53133</v>
      </c>
      <c r="AM61" s="253">
        <v>53960</v>
      </c>
      <c r="AN61" s="253"/>
      <c r="AO61" s="352"/>
    </row>
    <row r="62" spans="1:41" s="208" customFormat="1" x14ac:dyDescent="0.25">
      <c r="B62" s="227" t="s">
        <v>147</v>
      </c>
      <c r="C62" s="226"/>
      <c r="D62" s="398"/>
      <c r="E62" s="398"/>
      <c r="F62" s="226"/>
      <c r="G62" s="398"/>
      <c r="H62" s="398"/>
      <c r="I62" s="398"/>
      <c r="J62" s="226"/>
      <c r="N62" s="225"/>
      <c r="Q62" s="227"/>
      <c r="R62" s="225"/>
      <c r="U62" s="227"/>
      <c r="Y62" s="227"/>
      <c r="AC62" s="227"/>
      <c r="AG62" s="227"/>
      <c r="AK62" s="227"/>
      <c r="AO62" s="227"/>
    </row>
    <row r="63" spans="1:41" s="208" customFormat="1" x14ac:dyDescent="0.25">
      <c r="B63" s="227" t="s">
        <v>148</v>
      </c>
      <c r="C63" s="226"/>
      <c r="D63" s="398"/>
      <c r="E63" s="398"/>
      <c r="F63" s="226"/>
      <c r="G63" s="398"/>
      <c r="H63" s="398"/>
      <c r="I63" s="398"/>
      <c r="J63" s="226"/>
      <c r="N63" s="225"/>
      <c r="Q63" s="227"/>
      <c r="R63" s="225"/>
      <c r="U63" s="227"/>
      <c r="Y63" s="227"/>
      <c r="AC63" s="227"/>
      <c r="AG63" s="227"/>
      <c r="AK63" s="227"/>
      <c r="AO63" s="227"/>
    </row>
    <row r="64" spans="1:41" s="208" customFormat="1" x14ac:dyDescent="0.25">
      <c r="B64" s="331" t="s">
        <v>149</v>
      </c>
      <c r="C64" s="399">
        <f t="shared" ref="C64:I64" si="77">SUM(C60:C63)</f>
        <v>93725</v>
      </c>
      <c r="D64" s="397">
        <f t="shared" si="77"/>
        <v>135585</v>
      </c>
      <c r="E64" s="397">
        <f t="shared" si="77"/>
        <v>147045.67268979049</v>
      </c>
      <c r="F64" s="399">
        <f t="shared" si="77"/>
        <v>148549.05655948486</v>
      </c>
      <c r="G64" s="397">
        <f t="shared" si="77"/>
        <v>145410.37827260862</v>
      </c>
      <c r="H64" s="397">
        <f t="shared" si="77"/>
        <v>139178.04734680353</v>
      </c>
      <c r="I64" s="397">
        <f t="shared" si="77"/>
        <v>159470.50969230491</v>
      </c>
      <c r="J64" s="399">
        <f>SUM(J60:J63)+1</f>
        <v>130899.49183149762</v>
      </c>
      <c r="K64" s="397">
        <f t="shared" ref="K64:P64" si="78">SUM(K60:K63)</f>
        <v>153874</v>
      </c>
      <c r="L64" s="397">
        <f t="shared" si="78"/>
        <v>147353</v>
      </c>
      <c r="M64" s="397">
        <f t="shared" si="78"/>
        <v>161849</v>
      </c>
      <c r="N64" s="238">
        <f t="shared" si="78"/>
        <v>141585</v>
      </c>
      <c r="O64" s="397">
        <f t="shared" si="78"/>
        <v>156155</v>
      </c>
      <c r="P64" s="397">
        <f t="shared" si="78"/>
        <v>147835</v>
      </c>
      <c r="Q64" s="411">
        <f t="shared" ref="Q64:S64" si="79">SUM(Q60:Q63)</f>
        <v>157492</v>
      </c>
      <c r="R64" s="238">
        <f t="shared" si="79"/>
        <v>154350</v>
      </c>
      <c r="S64" s="397">
        <f t="shared" si="79"/>
        <v>143951</v>
      </c>
      <c r="T64" s="397">
        <f t="shared" ref="T64:W64" si="80">SUM(T60:T63)</f>
        <v>144325</v>
      </c>
      <c r="U64" s="411">
        <f t="shared" si="80"/>
        <v>127774</v>
      </c>
      <c r="V64" s="397">
        <f t="shared" si="80"/>
        <v>122389</v>
      </c>
      <c r="W64" s="397">
        <f t="shared" si="80"/>
        <v>107650</v>
      </c>
      <c r="X64" s="397">
        <f t="shared" ref="X64:AA64" si="81">SUM(X60:X63)</f>
        <v>85889</v>
      </c>
      <c r="Y64" s="411">
        <f t="shared" si="81"/>
        <v>105205</v>
      </c>
      <c r="Z64" s="397">
        <f t="shared" si="81"/>
        <v>100690</v>
      </c>
      <c r="AA64" s="397">
        <f t="shared" si="81"/>
        <v>104823</v>
      </c>
      <c r="AB64" s="397">
        <f t="shared" ref="AB64:AE64" si="82">SUM(AB60:AB63)</f>
        <v>105546</v>
      </c>
      <c r="AC64" s="411">
        <f t="shared" si="82"/>
        <v>116213</v>
      </c>
      <c r="AD64" s="397">
        <f t="shared" si="82"/>
        <v>122543</v>
      </c>
      <c r="AE64" s="397">
        <f t="shared" si="82"/>
        <v>115596</v>
      </c>
      <c r="AF64" s="397">
        <f t="shared" ref="AF64:AK64" si="83">SUM(AF60:AF63)</f>
        <v>111976</v>
      </c>
      <c r="AG64" s="411">
        <f t="shared" si="83"/>
        <v>75727</v>
      </c>
      <c r="AH64" s="397">
        <f t="shared" si="83"/>
        <v>71991</v>
      </c>
      <c r="AI64" s="397">
        <f t="shared" si="83"/>
        <v>69133</v>
      </c>
      <c r="AJ64" s="397">
        <f t="shared" si="83"/>
        <v>73171</v>
      </c>
      <c r="AK64" s="411">
        <f t="shared" si="83"/>
        <v>69774</v>
      </c>
      <c r="AL64" s="397">
        <f t="shared" ref="AL64:AO64" si="84">SUM(AL60:AL63)</f>
        <v>68386</v>
      </c>
      <c r="AM64" s="397">
        <f t="shared" si="84"/>
        <v>69544</v>
      </c>
      <c r="AN64" s="397">
        <f t="shared" si="84"/>
        <v>0</v>
      </c>
      <c r="AO64" s="411">
        <f t="shared" si="84"/>
        <v>0</v>
      </c>
    </row>
    <row r="65" spans="2:41" s="208" customFormat="1" x14ac:dyDescent="0.25">
      <c r="B65" s="227" t="s">
        <v>150</v>
      </c>
      <c r="C65" s="380"/>
      <c r="D65" s="398"/>
      <c r="E65" s="398"/>
      <c r="F65" s="380"/>
      <c r="G65" s="398"/>
      <c r="H65" s="398"/>
      <c r="I65" s="398"/>
      <c r="J65" s="226"/>
      <c r="N65" s="225"/>
      <c r="Q65" s="227"/>
      <c r="R65" s="225"/>
      <c r="U65" s="227"/>
      <c r="Y65" s="227"/>
      <c r="AC65" s="227"/>
      <c r="AG65" s="227"/>
      <c r="AK65" s="227"/>
      <c r="AO65" s="227"/>
    </row>
    <row r="66" spans="2:41" s="208" customFormat="1" x14ac:dyDescent="0.25">
      <c r="B66" s="227" t="s">
        <v>151</v>
      </c>
      <c r="C66" s="380"/>
      <c r="D66" s="398"/>
      <c r="E66" s="398"/>
      <c r="F66" s="380"/>
      <c r="G66" s="398"/>
      <c r="H66" s="398"/>
      <c r="I66" s="398"/>
      <c r="J66" s="226"/>
      <c r="N66" s="225"/>
      <c r="Q66" s="227"/>
      <c r="R66" s="225"/>
      <c r="U66" s="227"/>
      <c r="Y66" s="227"/>
      <c r="AC66" s="227"/>
      <c r="AG66" s="227"/>
      <c r="AK66" s="227"/>
      <c r="AO66" s="227"/>
    </row>
    <row r="67" spans="2:41" s="208" customFormat="1" x14ac:dyDescent="0.25">
      <c r="B67" s="400" t="s">
        <v>54</v>
      </c>
      <c r="C67" s="269">
        <f>SUM(C64:C66)</f>
        <v>93725</v>
      </c>
      <c r="D67" s="401">
        <f>SUM(D64:D66)</f>
        <v>135585</v>
      </c>
      <c r="E67" s="401">
        <f>SUM(E64:E66)</f>
        <v>147045.67268979049</v>
      </c>
      <c r="F67" s="269">
        <f t="shared" ref="F67:M67" si="85">SUM(F64:F66)</f>
        <v>148549.05655948486</v>
      </c>
      <c r="G67" s="401">
        <f t="shared" si="85"/>
        <v>145410.37827260862</v>
      </c>
      <c r="H67" s="401">
        <f t="shared" si="85"/>
        <v>139178.04734680353</v>
      </c>
      <c r="I67" s="401">
        <f t="shared" si="85"/>
        <v>159470.50969230491</v>
      </c>
      <c r="J67" s="269">
        <f t="shared" si="85"/>
        <v>130899.49183149762</v>
      </c>
      <c r="K67" s="401">
        <f t="shared" si="85"/>
        <v>153874</v>
      </c>
      <c r="L67" s="401">
        <f t="shared" si="85"/>
        <v>147353</v>
      </c>
      <c r="M67" s="401">
        <f t="shared" si="85"/>
        <v>161849</v>
      </c>
      <c r="N67" s="402">
        <f t="shared" ref="N67:O67" si="86">SUM(N64:N66)</f>
        <v>141585</v>
      </c>
      <c r="O67" s="401">
        <f t="shared" si="86"/>
        <v>156155</v>
      </c>
      <c r="P67" s="401">
        <f t="shared" ref="P67:Q67" si="87">SUM(P64:P66)</f>
        <v>147835</v>
      </c>
      <c r="Q67" s="412">
        <f t="shared" si="87"/>
        <v>157492</v>
      </c>
      <c r="R67" s="402">
        <f t="shared" ref="R67:S67" si="88">SUM(R64:R66)</f>
        <v>154350</v>
      </c>
      <c r="S67" s="401">
        <f t="shared" si="88"/>
        <v>143951</v>
      </c>
      <c r="T67" s="401">
        <f t="shared" ref="T67:W67" si="89">SUM(T64:T66)</f>
        <v>144325</v>
      </c>
      <c r="U67" s="412">
        <f t="shared" si="89"/>
        <v>127774</v>
      </c>
      <c r="V67" s="401">
        <f t="shared" si="89"/>
        <v>122389</v>
      </c>
      <c r="W67" s="401">
        <f t="shared" si="89"/>
        <v>107650</v>
      </c>
      <c r="X67" s="401">
        <f t="shared" ref="X67:AA67" si="90">SUM(X64:X66)</f>
        <v>85889</v>
      </c>
      <c r="Y67" s="412">
        <f t="shared" si="90"/>
        <v>105205</v>
      </c>
      <c r="Z67" s="401">
        <f t="shared" si="90"/>
        <v>100690</v>
      </c>
      <c r="AA67" s="401">
        <f t="shared" si="90"/>
        <v>104823</v>
      </c>
      <c r="AB67" s="401">
        <f t="shared" ref="AB67:AE67" si="91">SUM(AB64:AB66)</f>
        <v>105546</v>
      </c>
      <c r="AC67" s="412">
        <f t="shared" si="91"/>
        <v>116213</v>
      </c>
      <c r="AD67" s="401">
        <f t="shared" si="91"/>
        <v>122543</v>
      </c>
      <c r="AE67" s="401">
        <f t="shared" si="91"/>
        <v>115596</v>
      </c>
      <c r="AF67" s="401">
        <f t="shared" ref="AF67:AK67" si="92">SUM(AF64:AF66)</f>
        <v>111976</v>
      </c>
      <c r="AG67" s="412">
        <f t="shared" si="92"/>
        <v>75727</v>
      </c>
      <c r="AH67" s="401">
        <f t="shared" si="92"/>
        <v>71991</v>
      </c>
      <c r="AI67" s="401">
        <f t="shared" si="92"/>
        <v>69133</v>
      </c>
      <c r="AJ67" s="401">
        <f t="shared" si="92"/>
        <v>73171</v>
      </c>
      <c r="AK67" s="412">
        <f t="shared" si="92"/>
        <v>69774</v>
      </c>
      <c r="AL67" s="401">
        <f t="shared" ref="AL67:AO67" si="93">SUM(AL64:AL66)</f>
        <v>68386</v>
      </c>
      <c r="AM67" s="401">
        <f t="shared" si="93"/>
        <v>69544</v>
      </c>
      <c r="AN67" s="401">
        <f t="shared" si="93"/>
        <v>0</v>
      </c>
      <c r="AO67" s="412">
        <f t="shared" si="93"/>
        <v>0</v>
      </c>
    </row>
    <row r="68" spans="2:41" s="208" customFormat="1" x14ac:dyDescent="0.25">
      <c r="C68" s="225"/>
      <c r="F68" s="225"/>
      <c r="J68" s="225"/>
      <c r="N68" s="225"/>
      <c r="Q68" s="227"/>
      <c r="R68" s="225"/>
      <c r="U68" s="227"/>
      <c r="Y68" s="227"/>
      <c r="AC68" s="227"/>
      <c r="AG68" s="227"/>
      <c r="AK68" s="227"/>
      <c r="AO68" s="227"/>
    </row>
    <row r="69" spans="2:41" s="208" customFormat="1" x14ac:dyDescent="0.25">
      <c r="B69" s="396" t="s">
        <v>145</v>
      </c>
      <c r="C69" s="239">
        <f>+C60/$C$64</f>
        <v>0.22683382235262736</v>
      </c>
      <c r="D69" s="403">
        <f>+D60/$D$64</f>
        <v>0.22821846074418262</v>
      </c>
      <c r="E69" s="403">
        <f>+E60/$E$64</f>
        <v>0.22465810033309655</v>
      </c>
      <c r="F69" s="239">
        <f>+F60/$F$64</f>
        <v>0.22342349569561168</v>
      </c>
      <c r="G69" s="403">
        <f>+G60/$G$64</f>
        <v>0.22531044600003747</v>
      </c>
      <c r="H69" s="403">
        <f>+H60/$H$64</f>
        <v>0.22895790191475685</v>
      </c>
      <c r="I69" s="403">
        <f>+I60/$I$64</f>
        <v>0.22625182832784721</v>
      </c>
      <c r="J69" s="239">
        <f>+J60/$J$64</f>
        <v>0.22509204607065045</v>
      </c>
      <c r="K69" s="403">
        <f>+K60/$K$64</f>
        <v>0.22506076400171568</v>
      </c>
      <c r="L69" s="403">
        <f>+L60/$L$64</f>
        <v>0.22507855286285314</v>
      </c>
      <c r="M69" s="403">
        <v>0.22375577135950761</v>
      </c>
      <c r="N69" s="239">
        <f>+N60/$N$64</f>
        <v>0.22455768619557157</v>
      </c>
      <c r="O69" s="403">
        <f>+O60/$O$64</f>
        <v>0.22258653261182798</v>
      </c>
      <c r="P69" s="403">
        <f>+P60/$P$64</f>
        <v>0.22415530828288294</v>
      </c>
      <c r="Q69" s="413">
        <f>+Q60/$Q$64</f>
        <v>0.22493206004114494</v>
      </c>
      <c r="R69" s="239">
        <f>+R60/$R$64</f>
        <v>0.22664723032069972</v>
      </c>
      <c r="S69" s="403">
        <f>+S60/$S$64</f>
        <v>0.22698001403255275</v>
      </c>
      <c r="T69" s="403">
        <f>+T60/$T$64</f>
        <v>0.22521392690109129</v>
      </c>
      <c r="U69" s="413">
        <f>+U60/$U$64</f>
        <v>0.22679887927121323</v>
      </c>
      <c r="V69" s="403">
        <f>+V60/$V$64</f>
        <v>0.22761849512619597</v>
      </c>
      <c r="W69" s="403">
        <f>+W60/$W$64</f>
        <v>0.22770088248954948</v>
      </c>
      <c r="X69" s="403">
        <f>+X60/$X$64</f>
        <v>0.23434898531825962</v>
      </c>
      <c r="Y69" s="413">
        <f>+Y60/$Y$64</f>
        <v>0.22862031272277933</v>
      </c>
      <c r="Z69" s="403">
        <f>+Z60/$Z$64</f>
        <v>0.23619028701956502</v>
      </c>
      <c r="AA69" s="403">
        <f>+AA60/$AA$64</f>
        <v>0.22391078293885883</v>
      </c>
      <c r="AB69" s="403">
        <f>+AB60/$AB$64</f>
        <v>0.22924601595512856</v>
      </c>
      <c r="AC69" s="413">
        <f>+AC60/$AC$64</f>
        <v>0.22574927073563197</v>
      </c>
      <c r="AD69" s="403">
        <f>+AD60/$AD$64</f>
        <v>0.22702235133789772</v>
      </c>
      <c r="AE69" s="403">
        <f>+AE60/$AE$64</f>
        <v>0.22855462126717188</v>
      </c>
      <c r="AF69" s="403">
        <f>+AF60/$AF$64</f>
        <v>0.22609309137672359</v>
      </c>
      <c r="AG69" s="413">
        <f>+AG60/$AG$64</f>
        <v>0.22721090232017643</v>
      </c>
      <c r="AH69" s="403">
        <f>+AH60/$AH$64</f>
        <v>0.22615326915864484</v>
      </c>
      <c r="AI69" s="403">
        <f>+AI60/$AI$64</f>
        <v>0.22368478150810756</v>
      </c>
      <c r="AJ69" s="403">
        <f>+AJ60/$AJ$64</f>
        <v>0.22246518429432424</v>
      </c>
      <c r="AK69" s="413">
        <f>+AK60/$AK$64</f>
        <v>0.22319201995012469</v>
      </c>
      <c r="AL69" s="403">
        <f>+AL60/$AL$64</f>
        <v>0.22304272804375164</v>
      </c>
      <c r="AM69" s="403">
        <f>+AM60/$AM$64</f>
        <v>0.22408834694581847</v>
      </c>
      <c r="AN69" s="708" t="e">
        <f>+AN60/$AN$64</f>
        <v>#DIV/0!</v>
      </c>
      <c r="AO69" s="710" t="e">
        <f>+AO60/$AO$64</f>
        <v>#DIV/0!</v>
      </c>
    </row>
    <row r="70" spans="2:41" s="208" customFormat="1" x14ac:dyDescent="0.25">
      <c r="B70" s="227" t="s">
        <v>146</v>
      </c>
      <c r="C70" s="237">
        <f>+C61/$C$64</f>
        <v>0.77316617764737261</v>
      </c>
      <c r="D70" s="404">
        <f>+D61/$D$64</f>
        <v>0.77178153925581738</v>
      </c>
      <c r="E70" s="404">
        <f>+E61/$E$64</f>
        <v>0.77534189966690337</v>
      </c>
      <c r="F70" s="237">
        <f>+F61/$F$64</f>
        <v>0.77657650430438829</v>
      </c>
      <c r="G70" s="404">
        <f>+G61/$G$64</f>
        <v>0.77468955399996253</v>
      </c>
      <c r="H70" s="404">
        <f>+H61/$H$64</f>
        <v>0.77104209808524304</v>
      </c>
      <c r="I70" s="404">
        <f>+I61/$I$64</f>
        <v>0.77374817167215282</v>
      </c>
      <c r="J70" s="237">
        <f>+J61/$J$64</f>
        <v>0.77490031448028818</v>
      </c>
      <c r="K70" s="404">
        <f>+K61/$K$64</f>
        <v>0.77493923599828429</v>
      </c>
      <c r="L70" s="404">
        <f>+L61/$L$64</f>
        <v>0.77492144713714683</v>
      </c>
      <c r="M70" s="404">
        <v>0.77624422864049247</v>
      </c>
      <c r="N70" s="237">
        <f>+N61/$N$64</f>
        <v>0.77544231380442841</v>
      </c>
      <c r="O70" s="404">
        <f>+O61/$O$64</f>
        <v>0.77741346738817196</v>
      </c>
      <c r="P70" s="404">
        <f>+P61/$P$64</f>
        <v>0.77584469171711701</v>
      </c>
      <c r="Q70" s="414">
        <f>+Q61/$Q$64</f>
        <v>0.77506793995885503</v>
      </c>
      <c r="R70" s="237">
        <f>+R61/$R$64</f>
        <v>0.77335276967930033</v>
      </c>
      <c r="S70" s="404">
        <f>+S61/$S$64</f>
        <v>0.77301998596744725</v>
      </c>
      <c r="T70" s="404">
        <f>+T61/$T$64</f>
        <v>0.77478607309890868</v>
      </c>
      <c r="U70" s="414">
        <f>+U61/$U$64</f>
        <v>0.77320112072878677</v>
      </c>
      <c r="V70" s="404">
        <f>+V61/$V$64</f>
        <v>0.77238150487380397</v>
      </c>
      <c r="W70" s="404">
        <f>+W61/$W$64</f>
        <v>0.77229911751045055</v>
      </c>
      <c r="X70" s="404">
        <f>+X61/$X$64</f>
        <v>0.76565101468174035</v>
      </c>
      <c r="Y70" s="414">
        <f>+Y61/$Y$64</f>
        <v>0.77137968727722062</v>
      </c>
      <c r="Z70" s="404">
        <f>+Z61/$Z$64</f>
        <v>0.76380971298043498</v>
      </c>
      <c r="AA70" s="404">
        <f>+AA61/$AA$64</f>
        <v>0.7760892170611412</v>
      </c>
      <c r="AB70" s="404">
        <f>+AB61/$AB$64</f>
        <v>0.77075398404487139</v>
      </c>
      <c r="AC70" s="414">
        <f>+AC61/$AC$64</f>
        <v>0.774250729264368</v>
      </c>
      <c r="AD70" s="404">
        <f>+AD61/$AD$64</f>
        <v>0.77297764866210228</v>
      </c>
      <c r="AE70" s="404">
        <f>+AE61/$AE$64</f>
        <v>0.77144537873282815</v>
      </c>
      <c r="AF70" s="404">
        <f>+AF61/$AF$64</f>
        <v>0.77390690862327638</v>
      </c>
      <c r="AG70" s="414">
        <f>+AG61/$AG$64</f>
        <v>0.77278909767982362</v>
      </c>
      <c r="AH70" s="404">
        <f>+AH61/$AH$64</f>
        <v>0.77384673084135513</v>
      </c>
      <c r="AI70" s="404">
        <f>+AI61/$AI$64</f>
        <v>0.77631521849189244</v>
      </c>
      <c r="AJ70" s="404">
        <f>+AJ61/$AJ$64</f>
        <v>0.77753481570567573</v>
      </c>
      <c r="AK70" s="414">
        <f>+AK61/$AK$64</f>
        <v>0.77680798004987528</v>
      </c>
      <c r="AL70" s="404">
        <f>+AL61/$AL$64</f>
        <v>0.77695727195624831</v>
      </c>
      <c r="AM70" s="404">
        <f>+AM61/$AM$64</f>
        <v>0.77591165305418153</v>
      </c>
      <c r="AN70" s="709" t="e">
        <f>+AN61/$AN$64</f>
        <v>#DIV/0!</v>
      </c>
      <c r="AO70" s="705" t="e">
        <f>+AO61/$AO$64</f>
        <v>#DIV/0!</v>
      </c>
    </row>
    <row r="71" spans="2:41" s="208" customFormat="1" x14ac:dyDescent="0.25">
      <c r="B71" s="227" t="s">
        <v>147</v>
      </c>
      <c r="C71" s="237"/>
      <c r="D71" s="404"/>
      <c r="E71" s="404"/>
      <c r="F71" s="237"/>
      <c r="G71" s="404"/>
      <c r="H71" s="404"/>
      <c r="I71" s="404"/>
      <c r="J71" s="237"/>
      <c r="K71" s="404"/>
      <c r="L71" s="404"/>
      <c r="M71" s="404"/>
      <c r="N71" s="237"/>
      <c r="O71" s="404"/>
      <c r="P71" s="404"/>
      <c r="Q71" s="414"/>
      <c r="R71" s="237"/>
      <c r="S71" s="404"/>
      <c r="T71" s="404"/>
      <c r="U71" s="414"/>
      <c r="V71" s="404"/>
      <c r="W71" s="404"/>
      <c r="X71" s="404"/>
      <c r="Y71" s="414"/>
      <c r="Z71" s="404"/>
      <c r="AA71" s="404"/>
      <c r="AB71" s="404"/>
      <c r="AC71" s="414"/>
      <c r="AD71" s="404"/>
      <c r="AE71" s="404"/>
      <c r="AF71" s="404"/>
      <c r="AG71" s="414"/>
      <c r="AH71" s="404"/>
      <c r="AI71" s="404"/>
      <c r="AJ71" s="404"/>
      <c r="AK71" s="414"/>
      <c r="AL71" s="404"/>
      <c r="AM71" s="404"/>
      <c r="AN71" s="404"/>
      <c r="AO71" s="414"/>
    </row>
    <row r="72" spans="2:41" s="208" customFormat="1" x14ac:dyDescent="0.25">
      <c r="B72" s="227" t="s">
        <v>148</v>
      </c>
      <c r="C72" s="237"/>
      <c r="D72" s="404"/>
      <c r="E72" s="404"/>
      <c r="F72" s="237"/>
      <c r="G72" s="404"/>
      <c r="H72" s="404"/>
      <c r="I72" s="404"/>
      <c r="J72" s="237"/>
      <c r="K72" s="404"/>
      <c r="L72" s="404"/>
      <c r="M72" s="404"/>
      <c r="N72" s="237"/>
      <c r="O72" s="404"/>
      <c r="P72" s="404"/>
      <c r="Q72" s="414"/>
      <c r="R72" s="237"/>
      <c r="S72" s="404"/>
      <c r="T72" s="404"/>
      <c r="U72" s="414"/>
      <c r="V72" s="404"/>
      <c r="W72" s="404"/>
      <c r="X72" s="404"/>
      <c r="Y72" s="414"/>
      <c r="Z72" s="404"/>
      <c r="AA72" s="404"/>
      <c r="AB72" s="404"/>
      <c r="AC72" s="414"/>
      <c r="AD72" s="404"/>
      <c r="AE72" s="404"/>
      <c r="AF72" s="404"/>
      <c r="AG72" s="414"/>
      <c r="AH72" s="404"/>
      <c r="AI72" s="404"/>
      <c r="AJ72" s="404"/>
      <c r="AK72" s="414"/>
      <c r="AL72" s="404"/>
      <c r="AM72" s="404"/>
      <c r="AN72" s="404"/>
      <c r="AO72" s="414"/>
    </row>
    <row r="73" spans="2:41" s="208" customFormat="1" x14ac:dyDescent="0.25">
      <c r="B73" s="332" t="s">
        <v>149</v>
      </c>
      <c r="C73" s="405">
        <f>SUM(C69:C72)</f>
        <v>1</v>
      </c>
      <c r="D73" s="406">
        <f t="shared" ref="D73:K73" si="94">SUM(D69:D72)</f>
        <v>1</v>
      </c>
      <c r="E73" s="406">
        <f t="shared" si="94"/>
        <v>0.99999999999999989</v>
      </c>
      <c r="F73" s="405">
        <f t="shared" si="94"/>
        <v>1</v>
      </c>
      <c r="G73" s="406">
        <f t="shared" si="94"/>
        <v>1</v>
      </c>
      <c r="H73" s="406">
        <f t="shared" si="94"/>
        <v>0.99999999999999989</v>
      </c>
      <c r="I73" s="406">
        <f t="shared" si="94"/>
        <v>1</v>
      </c>
      <c r="J73" s="405">
        <f t="shared" si="94"/>
        <v>0.99999236055093865</v>
      </c>
      <c r="K73" s="406">
        <f t="shared" si="94"/>
        <v>1</v>
      </c>
      <c r="L73" s="406">
        <f t="shared" ref="L73:Q73" si="95">SUM(L69:L72)</f>
        <v>1</v>
      </c>
      <c r="M73" s="406">
        <f t="shared" si="95"/>
        <v>1</v>
      </c>
      <c r="N73" s="405">
        <f t="shared" si="95"/>
        <v>1</v>
      </c>
      <c r="O73" s="406">
        <f t="shared" si="95"/>
        <v>1</v>
      </c>
      <c r="P73" s="406">
        <f t="shared" si="95"/>
        <v>1</v>
      </c>
      <c r="Q73" s="415">
        <f t="shared" si="95"/>
        <v>1</v>
      </c>
      <c r="R73" s="405">
        <f t="shared" ref="R73:S73" si="96">SUM(R69:R72)</f>
        <v>1</v>
      </c>
      <c r="S73" s="406">
        <f t="shared" si="96"/>
        <v>1</v>
      </c>
      <c r="T73" s="406">
        <f t="shared" ref="T73:W73" si="97">SUM(T69:T72)</f>
        <v>1</v>
      </c>
      <c r="U73" s="415">
        <f t="shared" si="97"/>
        <v>1</v>
      </c>
      <c r="V73" s="406">
        <f t="shared" si="97"/>
        <v>1</v>
      </c>
      <c r="W73" s="406">
        <f t="shared" si="97"/>
        <v>1</v>
      </c>
      <c r="X73" s="406">
        <f t="shared" ref="X73:AA73" si="98">SUM(X69:X72)</f>
        <v>1</v>
      </c>
      <c r="Y73" s="415">
        <f t="shared" si="98"/>
        <v>1</v>
      </c>
      <c r="Z73" s="406">
        <f t="shared" si="98"/>
        <v>1</v>
      </c>
      <c r="AA73" s="406">
        <f t="shared" si="98"/>
        <v>1</v>
      </c>
      <c r="AB73" s="406">
        <f t="shared" ref="AB73:AE73" si="99">SUM(AB69:AB72)</f>
        <v>1</v>
      </c>
      <c r="AC73" s="415">
        <f t="shared" si="99"/>
        <v>1</v>
      </c>
      <c r="AD73" s="406">
        <f t="shared" si="99"/>
        <v>1</v>
      </c>
      <c r="AE73" s="406">
        <f t="shared" si="99"/>
        <v>1</v>
      </c>
      <c r="AF73" s="406">
        <f t="shared" ref="AF73:AH73" si="100">SUM(AF69:AF72)</f>
        <v>1</v>
      </c>
      <c r="AG73" s="415">
        <f t="shared" si="100"/>
        <v>1</v>
      </c>
      <c r="AH73" s="406">
        <f t="shared" si="100"/>
        <v>1</v>
      </c>
      <c r="AI73" s="406">
        <f t="shared" ref="AI73:AL73" si="101">SUM(AI69:AI72)</f>
        <v>1</v>
      </c>
      <c r="AJ73" s="406">
        <f t="shared" si="101"/>
        <v>1</v>
      </c>
      <c r="AK73" s="415">
        <f t="shared" si="101"/>
        <v>1</v>
      </c>
      <c r="AL73" s="406">
        <f t="shared" si="101"/>
        <v>1</v>
      </c>
      <c r="AM73" s="406">
        <f t="shared" ref="AM73:AO73" si="102">SUM(AM69:AM72)</f>
        <v>1</v>
      </c>
      <c r="AN73" s="406" t="e">
        <f t="shared" si="102"/>
        <v>#DIV/0!</v>
      </c>
      <c r="AO73" s="415" t="e">
        <f t="shared" si="102"/>
        <v>#DIV/0!</v>
      </c>
    </row>
    <row r="74" spans="2:41" s="208" customFormat="1" x14ac:dyDescent="0.25"/>
    <row r="75" spans="2:41" s="339" customFormat="1" x14ac:dyDescent="0.25">
      <c r="B75" s="339" t="s">
        <v>154</v>
      </c>
      <c r="C75" s="340">
        <f t="shared" ref="C75:K75" si="103">+C67-C10</f>
        <v>0</v>
      </c>
      <c r="D75" s="340">
        <f t="shared" si="103"/>
        <v>0</v>
      </c>
      <c r="E75" s="340">
        <f t="shared" si="103"/>
        <v>-0.32731020951177925</v>
      </c>
      <c r="F75" s="340">
        <f t="shared" si="103"/>
        <v>5.6559484859462827E-2</v>
      </c>
      <c r="G75" s="340">
        <f t="shared" si="103"/>
        <v>0.37827260862104595</v>
      </c>
      <c r="H75" s="340">
        <f t="shared" si="103"/>
        <v>4.7346803534310311E-2</v>
      </c>
      <c r="I75" s="340">
        <f t="shared" si="103"/>
        <v>-0.4903076950868126</v>
      </c>
      <c r="J75" s="340">
        <f t="shared" si="103"/>
        <v>0.49183149762393441</v>
      </c>
      <c r="K75" s="340">
        <f t="shared" si="103"/>
        <v>0</v>
      </c>
    </row>
    <row r="76" spans="2:41" s="208" customFormat="1" x14ac:dyDescent="0.25"/>
    <row r="77" spans="2:41" s="208" customFormat="1" x14ac:dyDescent="0.25"/>
    <row r="78" spans="2:41" s="208" customFormat="1" x14ac:dyDescent="0.25"/>
    <row r="79" spans="2:41" s="208" customFormat="1" x14ac:dyDescent="0.25"/>
    <row r="80" spans="2:41" s="208" customFormat="1" x14ac:dyDescent="0.25"/>
    <row r="81" spans="90:90" s="208" customFormat="1" x14ac:dyDescent="0.25"/>
    <row r="82" spans="90:90" s="208" customFormat="1" x14ac:dyDescent="0.25"/>
    <row r="83" spans="90:90" s="208" customFormat="1" x14ac:dyDescent="0.25"/>
    <row r="84" spans="90:90" s="208" customFormat="1" x14ac:dyDescent="0.25">
      <c r="CL84" s="208">
        <v>-161</v>
      </c>
    </row>
    <row r="85" spans="90:90" s="208" customFormat="1" x14ac:dyDescent="0.25"/>
    <row r="86" spans="90:90" s="208" customFormat="1" x14ac:dyDescent="0.25"/>
    <row r="87" spans="90:90" s="208" customFormat="1" x14ac:dyDescent="0.25"/>
    <row r="88" spans="90:90" s="208" customFormat="1" x14ac:dyDescent="0.25"/>
    <row r="89" spans="90:90" s="208" customFormat="1" x14ac:dyDescent="0.25"/>
    <row r="90" spans="90:90" s="208" customFormat="1" x14ac:dyDescent="0.25"/>
    <row r="91" spans="90:90" s="208" customFormat="1" x14ac:dyDescent="0.25"/>
    <row r="92" spans="90:90" s="208" customFormat="1" x14ac:dyDescent="0.25"/>
    <row r="93" spans="90:90" s="208" customFormat="1" x14ac:dyDescent="0.25"/>
    <row r="94" spans="90:90" s="208" customFormat="1" x14ac:dyDescent="0.25"/>
    <row r="95" spans="90:90" s="208" customFormat="1" x14ac:dyDescent="0.25"/>
    <row r="96" spans="90:90" s="208" customFormat="1" x14ac:dyDescent="0.25"/>
    <row r="97" s="208" customFormat="1" x14ac:dyDescent="0.25"/>
    <row r="98" s="208" customFormat="1" x14ac:dyDescent="0.25"/>
    <row r="99" s="208" customFormat="1" x14ac:dyDescent="0.25"/>
    <row r="100" s="208" customFormat="1" x14ac:dyDescent="0.25"/>
    <row r="101" s="208" customFormat="1" x14ac:dyDescent="0.25"/>
    <row r="102" s="208" customFormat="1" x14ac:dyDescent="0.25"/>
    <row r="103" s="208" customFormat="1" x14ac:dyDescent="0.25"/>
    <row r="104" s="208" customFormat="1" x14ac:dyDescent="0.25"/>
    <row r="105" s="208" customFormat="1" x14ac:dyDescent="0.25"/>
    <row r="106" s="208" customFormat="1" x14ac:dyDescent="0.25"/>
    <row r="107" s="208" customFormat="1" x14ac:dyDescent="0.25"/>
    <row r="108" s="208" customFormat="1" x14ac:dyDescent="0.25"/>
    <row r="109" s="208" customFormat="1" x14ac:dyDescent="0.25"/>
    <row r="110" s="208" customFormat="1" x14ac:dyDescent="0.25"/>
    <row r="111" s="208" customFormat="1" x14ac:dyDescent="0.25"/>
    <row r="112" s="208" customFormat="1" x14ac:dyDescent="0.25"/>
    <row r="113" s="208" customFormat="1" x14ac:dyDescent="0.25"/>
    <row r="114" s="208" customFormat="1" x14ac:dyDescent="0.25"/>
    <row r="115" s="208" customFormat="1" x14ac:dyDescent="0.25"/>
    <row r="116" s="208" customFormat="1" x14ac:dyDescent="0.25"/>
    <row r="117" s="208" customFormat="1" x14ac:dyDescent="0.25"/>
    <row r="118" s="208" customFormat="1" x14ac:dyDescent="0.25"/>
    <row r="119" s="208" customFormat="1" x14ac:dyDescent="0.25"/>
    <row r="120" s="208" customFormat="1" x14ac:dyDescent="0.25"/>
    <row r="121" s="208" customFormat="1" x14ac:dyDescent="0.25"/>
    <row r="122" s="208" customFormat="1" x14ac:dyDescent="0.25"/>
    <row r="123" s="208" customFormat="1" x14ac:dyDescent="0.25"/>
    <row r="124" s="208" customFormat="1" x14ac:dyDescent="0.25"/>
    <row r="125" s="208" customFormat="1" x14ac:dyDescent="0.25"/>
    <row r="126" s="208" customFormat="1" x14ac:dyDescent="0.25"/>
    <row r="127" s="208" customFormat="1" x14ac:dyDescent="0.25"/>
    <row r="128" s="208" customFormat="1" x14ac:dyDescent="0.25"/>
    <row r="129" spans="90:90" s="208" customFormat="1" x14ac:dyDescent="0.25"/>
    <row r="130" spans="90:90" s="208" customFormat="1" x14ac:dyDescent="0.25"/>
    <row r="131" spans="90:90" s="208" customFormat="1" x14ac:dyDescent="0.25"/>
    <row r="132" spans="90:90" s="208" customFormat="1" x14ac:dyDescent="0.25"/>
    <row r="133" spans="90:90" s="208" customFormat="1" x14ac:dyDescent="0.25"/>
    <row r="134" spans="90:90" s="208" customFormat="1" x14ac:dyDescent="0.25"/>
    <row r="135" spans="90:90" s="208" customFormat="1" x14ac:dyDescent="0.25">
      <c r="CL135" s="208">
        <v>0</v>
      </c>
    </row>
    <row r="136" spans="90:90" s="208" customFormat="1" x14ac:dyDescent="0.25"/>
    <row r="137" spans="90:90" s="208" customFormat="1" x14ac:dyDescent="0.25"/>
    <row r="138" spans="90:90" s="208" customFormat="1" x14ac:dyDescent="0.25"/>
    <row r="139" spans="90:90" s="208" customFormat="1" x14ac:dyDescent="0.25"/>
    <row r="140" spans="90:90" s="208" customFormat="1" x14ac:dyDescent="0.25"/>
    <row r="141" spans="90:90" s="208" customFormat="1" x14ac:dyDescent="0.25"/>
    <row r="142" spans="90:90" s="208" customFormat="1" x14ac:dyDescent="0.25"/>
    <row r="143" spans="90:90" s="208" customFormat="1" x14ac:dyDescent="0.25"/>
    <row r="144" spans="90:90" s="208" customFormat="1" x14ac:dyDescent="0.25"/>
    <row r="145" s="208" customFormat="1" x14ac:dyDescent="0.25"/>
    <row r="146" s="208" customFormat="1" x14ac:dyDescent="0.25"/>
    <row r="147" s="208" customFormat="1" x14ac:dyDescent="0.25"/>
    <row r="148" s="208" customFormat="1" x14ac:dyDescent="0.25"/>
    <row r="149" s="208" customFormat="1" x14ac:dyDescent="0.25"/>
    <row r="150" s="208" customFormat="1" x14ac:dyDescent="0.25"/>
    <row r="151" s="208" customFormat="1" x14ac:dyDescent="0.25"/>
    <row r="152" s="208" customFormat="1" x14ac:dyDescent="0.25"/>
    <row r="153" s="208" customFormat="1" x14ac:dyDescent="0.25"/>
    <row r="154" s="208" customFormat="1" x14ac:dyDescent="0.25"/>
    <row r="155" s="208" customFormat="1" x14ac:dyDescent="0.25"/>
    <row r="156" s="208" customFormat="1" x14ac:dyDescent="0.25"/>
    <row r="157" s="208" customFormat="1" x14ac:dyDescent="0.25"/>
    <row r="158" s="208" customFormat="1" x14ac:dyDescent="0.25"/>
    <row r="159" s="208" customFormat="1" x14ac:dyDescent="0.25"/>
    <row r="160" s="208" customFormat="1" x14ac:dyDescent="0.25"/>
    <row r="161" s="208" customFormat="1" x14ac:dyDescent="0.25"/>
    <row r="162" s="208" customFormat="1" x14ac:dyDescent="0.25"/>
    <row r="163" s="208" customFormat="1" x14ac:dyDescent="0.25"/>
    <row r="164" s="208" customFormat="1" x14ac:dyDescent="0.25"/>
    <row r="165" s="208" customFormat="1" x14ac:dyDescent="0.25"/>
    <row r="166" s="208" customFormat="1" x14ac:dyDescent="0.25"/>
    <row r="167" s="208" customFormat="1" x14ac:dyDescent="0.25"/>
    <row r="168" s="208" customFormat="1" x14ac:dyDescent="0.25"/>
    <row r="169" s="208" customFormat="1" x14ac:dyDescent="0.25"/>
    <row r="170" s="208" customFormat="1" x14ac:dyDescent="0.25"/>
    <row r="171" s="208" customFormat="1" x14ac:dyDescent="0.25"/>
    <row r="232" spans="90:90" x14ac:dyDescent="0.25">
      <c r="CL232" s="208">
        <v>-1166</v>
      </c>
    </row>
    <row r="235" spans="90:90" x14ac:dyDescent="0.25">
      <c r="CL235" s="208">
        <v>58</v>
      </c>
    </row>
    <row r="237" spans="90:90" x14ac:dyDescent="0.25">
      <c r="CL237" s="208">
        <v>-219</v>
      </c>
    </row>
    <row r="243" spans="90:90" x14ac:dyDescent="0.25">
      <c r="CL243" s="208">
        <v>893173</v>
      </c>
    </row>
    <row r="289" spans="90:90" x14ac:dyDescent="0.25">
      <c r="CL289" s="208">
        <v>1521269</v>
      </c>
    </row>
    <row r="291" spans="90:90" x14ac:dyDescent="0.25">
      <c r="CL291" s="208">
        <v>991474</v>
      </c>
    </row>
  </sheetData>
  <mergeCells count="1">
    <mergeCell ref="AP16:AS22"/>
  </mergeCells>
  <pageMargins left="0.31496062992125984" right="0" top="0" bottom="0" header="0.31496062992125984" footer="0.31496062992125984"/>
  <pageSetup paperSize="9" scale="89" fitToHeight="0" orientation="portrait" r:id="rId1"/>
  <rowBreaks count="1" manualBreakCount="1">
    <brk id="56" max="22" man="1"/>
  </rowBreaks>
  <ignoredErrors>
    <ignoredError sqref="AG54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EF78-CD40-4F71-9FE2-D3140E767D84}">
  <dimension ref="B1:V53"/>
  <sheetViews>
    <sheetView zoomScaleNormal="100" workbookViewId="0">
      <selection activeCell="T35" sqref="T35"/>
    </sheetView>
  </sheetViews>
  <sheetFormatPr defaultRowHeight="15" x14ac:dyDescent="0.25"/>
  <cols>
    <col min="1" max="1" width="2.28515625" style="208" customWidth="1"/>
    <col min="2" max="2" width="49.5703125" style="208" bestFit="1" customWidth="1"/>
    <col min="3" max="6" width="12" style="208" hidden="1" customWidth="1"/>
    <col min="7" max="20" width="12" style="208" customWidth="1"/>
    <col min="21" max="22" width="12" style="208" hidden="1" customWidth="1"/>
    <col min="23" max="16384" width="9.140625" style="208"/>
  </cols>
  <sheetData>
    <row r="1" spans="2:22" x14ac:dyDescent="0.25">
      <c r="B1" s="506"/>
      <c r="C1" s="507">
        <v>44621</v>
      </c>
      <c r="D1" s="508">
        <v>44713</v>
      </c>
      <c r="E1" s="508">
        <v>44805</v>
      </c>
      <c r="F1" s="509">
        <v>44896</v>
      </c>
      <c r="G1" s="507">
        <v>44986</v>
      </c>
      <c r="H1" s="508">
        <v>45078</v>
      </c>
      <c r="I1" s="508">
        <v>45170</v>
      </c>
      <c r="J1" s="509">
        <v>45261</v>
      </c>
      <c r="K1" s="507">
        <v>45352</v>
      </c>
      <c r="L1" s="508">
        <v>45444</v>
      </c>
      <c r="M1" s="508">
        <v>45536</v>
      </c>
      <c r="N1" s="509">
        <v>45627</v>
      </c>
      <c r="O1" s="507">
        <v>45717</v>
      </c>
      <c r="P1" s="508">
        <v>45809</v>
      </c>
      <c r="Q1" s="508">
        <v>45901</v>
      </c>
      <c r="R1" s="509">
        <v>45992</v>
      </c>
      <c r="S1" s="507">
        <v>46082</v>
      </c>
      <c r="T1" s="508">
        <v>46174</v>
      </c>
      <c r="U1" s="508">
        <v>46266</v>
      </c>
      <c r="V1" s="509">
        <v>46357</v>
      </c>
    </row>
    <row r="2" spans="2:22" ht="15" customHeight="1" x14ac:dyDescent="0.25">
      <c r="B2" s="979" t="s">
        <v>220</v>
      </c>
      <c r="C2" s="979"/>
      <c r="D2" s="979"/>
      <c r="E2" s="979"/>
      <c r="F2" s="975"/>
      <c r="J2" s="400"/>
      <c r="N2" s="400"/>
      <c r="R2" s="400"/>
      <c r="V2" s="400"/>
    </row>
    <row r="3" spans="2:22" ht="15" customHeight="1" x14ac:dyDescent="0.25">
      <c r="B3" s="510" t="s">
        <v>205</v>
      </c>
      <c r="C3" s="336"/>
      <c r="D3" s="336"/>
      <c r="E3" s="336"/>
      <c r="F3" s="400"/>
      <c r="G3" s="336"/>
      <c r="H3" s="336"/>
      <c r="I3" s="336"/>
      <c r="J3" s="400"/>
      <c r="K3" s="336"/>
      <c r="L3" s="336"/>
      <c r="M3" s="336"/>
      <c r="N3" s="400"/>
      <c r="O3" s="336"/>
      <c r="P3" s="336"/>
      <c r="Q3" s="336"/>
      <c r="R3" s="400"/>
      <c r="S3" s="336"/>
      <c r="T3" s="336"/>
      <c r="U3" s="336"/>
      <c r="V3" s="400"/>
    </row>
    <row r="4" spans="2:22" x14ac:dyDescent="0.25">
      <c r="B4" s="296" t="s">
        <v>206</v>
      </c>
      <c r="C4" s="348"/>
      <c r="F4" s="227"/>
      <c r="G4" s="348"/>
      <c r="J4" s="227"/>
      <c r="K4" s="348"/>
      <c r="N4" s="227"/>
      <c r="O4" s="348"/>
      <c r="R4" s="227"/>
      <c r="S4" s="348"/>
      <c r="V4" s="227"/>
    </row>
    <row r="5" spans="2:22" x14ac:dyDescent="0.25">
      <c r="B5" s="511" t="s">
        <v>211</v>
      </c>
      <c r="C5" s="513">
        <v>398</v>
      </c>
      <c r="D5" s="514">
        <v>668</v>
      </c>
      <c r="E5" s="514">
        <v>650</v>
      </c>
      <c r="F5" s="521">
        <v>287</v>
      </c>
      <c r="G5" s="513">
        <v>429</v>
      </c>
      <c r="H5" s="514">
        <v>359</v>
      </c>
      <c r="I5" s="514">
        <v>427</v>
      </c>
      <c r="J5" s="521">
        <v>196</v>
      </c>
      <c r="K5" s="513">
        <v>344</v>
      </c>
      <c r="L5" s="514">
        <v>255</v>
      </c>
      <c r="M5" s="514">
        <v>204</v>
      </c>
      <c r="N5" s="521">
        <v>353</v>
      </c>
      <c r="O5" s="513">
        <v>331</v>
      </c>
      <c r="P5" s="514">
        <v>150</v>
      </c>
      <c r="Q5" s="674">
        <v>0</v>
      </c>
      <c r="R5" s="676">
        <v>0</v>
      </c>
      <c r="S5" s="674">
        <v>0</v>
      </c>
      <c r="T5" s="674">
        <v>0</v>
      </c>
      <c r="U5" s="674"/>
      <c r="V5" s="676"/>
    </row>
    <row r="6" spans="2:22" x14ac:dyDescent="0.25">
      <c r="B6" s="511" t="s">
        <v>207</v>
      </c>
      <c r="C6" s="513">
        <v>1248</v>
      </c>
      <c r="D6" s="514">
        <v>2251</v>
      </c>
      <c r="E6" s="514">
        <v>1003</v>
      </c>
      <c r="F6" s="521">
        <v>337</v>
      </c>
      <c r="G6" s="513">
        <v>1180</v>
      </c>
      <c r="H6" s="514">
        <v>1525</v>
      </c>
      <c r="I6" s="514">
        <v>1925</v>
      </c>
      <c r="J6" s="521">
        <v>1084</v>
      </c>
      <c r="K6" s="513">
        <v>1935</v>
      </c>
      <c r="L6" s="514">
        <v>1736</v>
      </c>
      <c r="M6" s="514">
        <v>1835</v>
      </c>
      <c r="N6" s="521">
        <v>1043</v>
      </c>
      <c r="O6" s="513">
        <v>615</v>
      </c>
      <c r="P6" s="514">
        <v>13</v>
      </c>
      <c r="Q6" s="674">
        <v>0</v>
      </c>
      <c r="R6" s="676">
        <v>0</v>
      </c>
      <c r="S6" s="674">
        <v>0</v>
      </c>
      <c r="T6" s="674">
        <v>0</v>
      </c>
      <c r="U6" s="674"/>
      <c r="V6" s="676"/>
    </row>
    <row r="7" spans="2:22" x14ac:dyDescent="0.25">
      <c r="B7" s="512" t="s">
        <v>208</v>
      </c>
      <c r="C7" s="515">
        <v>1646</v>
      </c>
      <c r="D7" s="516">
        <v>2919</v>
      </c>
      <c r="E7" s="516">
        <v>1653</v>
      </c>
      <c r="F7" s="522">
        <v>624</v>
      </c>
      <c r="G7" s="515">
        <v>1609</v>
      </c>
      <c r="H7" s="516">
        <v>1884</v>
      </c>
      <c r="I7" s="516">
        <f>+I5+I6</f>
        <v>2352</v>
      </c>
      <c r="J7" s="522">
        <f>+J5+J6</f>
        <v>1280</v>
      </c>
      <c r="K7" s="515">
        <f t="shared" ref="K7:L7" si="0">+K5+K6</f>
        <v>2279</v>
      </c>
      <c r="L7" s="516">
        <f t="shared" si="0"/>
        <v>1991</v>
      </c>
      <c r="M7" s="516">
        <v>2039</v>
      </c>
      <c r="N7" s="522">
        <f>+N5+N6</f>
        <v>1396</v>
      </c>
      <c r="O7" s="515">
        <f t="shared" ref="O7:R7" si="1">+O5+O6</f>
        <v>946</v>
      </c>
      <c r="P7" s="516">
        <f t="shared" si="1"/>
        <v>163</v>
      </c>
      <c r="Q7" s="677">
        <f t="shared" si="1"/>
        <v>0</v>
      </c>
      <c r="R7" s="678">
        <f t="shared" si="1"/>
        <v>0</v>
      </c>
      <c r="S7" s="677">
        <f t="shared" ref="S7:T7" si="2">+S5+S6</f>
        <v>0</v>
      </c>
      <c r="T7" s="677">
        <f t="shared" si="2"/>
        <v>0</v>
      </c>
      <c r="U7" s="677"/>
      <c r="V7" s="678"/>
    </row>
    <row r="8" spans="2:22" x14ac:dyDescent="0.25">
      <c r="B8" s="511" t="s">
        <v>212</v>
      </c>
      <c r="C8" s="513">
        <v>70</v>
      </c>
      <c r="D8" s="514">
        <v>123</v>
      </c>
      <c r="E8" s="514">
        <v>68</v>
      </c>
      <c r="F8" s="521">
        <v>23</v>
      </c>
      <c r="G8" s="513">
        <v>61</v>
      </c>
      <c r="H8" s="514">
        <v>97</v>
      </c>
      <c r="I8" s="514">
        <v>103</v>
      </c>
      <c r="J8" s="521">
        <v>59</v>
      </c>
      <c r="K8" s="513">
        <v>106</v>
      </c>
      <c r="L8" s="514">
        <v>96</v>
      </c>
      <c r="M8" s="514">
        <v>42</v>
      </c>
      <c r="N8" s="521">
        <v>39</v>
      </c>
      <c r="O8" s="674">
        <v>0</v>
      </c>
      <c r="P8" s="674">
        <v>0</v>
      </c>
      <c r="Q8" s="674">
        <v>0</v>
      </c>
      <c r="R8" s="676">
        <v>0</v>
      </c>
      <c r="S8" s="674">
        <v>0</v>
      </c>
      <c r="T8" s="674">
        <v>0</v>
      </c>
      <c r="U8" s="674"/>
      <c r="V8" s="676"/>
    </row>
    <row r="9" spans="2:22" x14ac:dyDescent="0.25">
      <c r="B9" s="511" t="s">
        <v>213</v>
      </c>
      <c r="C9" s="513">
        <v>35</v>
      </c>
      <c r="D9" s="514">
        <v>78</v>
      </c>
      <c r="E9" s="514">
        <v>37</v>
      </c>
      <c r="F9" s="521">
        <v>6</v>
      </c>
      <c r="G9" s="513">
        <v>33</v>
      </c>
      <c r="H9" s="514">
        <v>30</v>
      </c>
      <c r="I9" s="514">
        <v>46</v>
      </c>
      <c r="J9" s="521">
        <v>18</v>
      </c>
      <c r="K9" s="513">
        <v>45</v>
      </c>
      <c r="L9" s="514">
        <v>17</v>
      </c>
      <c r="M9" s="514">
        <v>26</v>
      </c>
      <c r="N9" s="521">
        <v>13</v>
      </c>
      <c r="O9" s="513">
        <v>3</v>
      </c>
      <c r="P9" s="674">
        <v>0</v>
      </c>
      <c r="Q9" s="674">
        <v>0</v>
      </c>
      <c r="R9" s="676">
        <v>0</v>
      </c>
      <c r="S9" s="674">
        <v>0</v>
      </c>
      <c r="T9" s="674">
        <v>0</v>
      </c>
      <c r="U9" s="674"/>
      <c r="V9" s="676"/>
    </row>
    <row r="10" spans="2:22" x14ac:dyDescent="0.25">
      <c r="B10" s="511" t="s">
        <v>214</v>
      </c>
      <c r="C10" s="513">
        <v>360</v>
      </c>
      <c r="D10" s="514">
        <v>608</v>
      </c>
      <c r="E10" s="514">
        <v>321</v>
      </c>
      <c r="F10" s="521">
        <v>110</v>
      </c>
      <c r="G10" s="513">
        <v>296</v>
      </c>
      <c r="H10" s="514">
        <v>348</v>
      </c>
      <c r="I10" s="514">
        <v>409</v>
      </c>
      <c r="J10" s="521">
        <v>161</v>
      </c>
      <c r="K10" s="513">
        <v>358</v>
      </c>
      <c r="L10" s="514">
        <v>321</v>
      </c>
      <c r="M10" s="514">
        <v>199</v>
      </c>
      <c r="N10" s="521">
        <v>191</v>
      </c>
      <c r="O10" s="674">
        <v>0</v>
      </c>
      <c r="P10" s="674">
        <v>0</v>
      </c>
      <c r="Q10" s="674">
        <v>0</v>
      </c>
      <c r="R10" s="676">
        <v>0</v>
      </c>
      <c r="S10" s="674">
        <v>0</v>
      </c>
      <c r="T10" s="674">
        <v>0</v>
      </c>
      <c r="U10" s="674"/>
      <c r="V10" s="676"/>
    </row>
    <row r="11" spans="2:22" x14ac:dyDescent="0.25">
      <c r="B11" s="511"/>
      <c r="C11" s="438"/>
      <c r="D11" s="344"/>
      <c r="E11" s="344"/>
      <c r="F11" s="474"/>
      <c r="G11" s="438"/>
      <c r="H11" s="344"/>
      <c r="I11" s="344"/>
      <c r="J11" s="474"/>
      <c r="K11" s="438"/>
      <c r="L11" s="344"/>
      <c r="M11" s="344"/>
      <c r="N11" s="474"/>
      <c r="O11" s="438"/>
      <c r="P11" s="344"/>
      <c r="Q11" s="344"/>
      <c r="R11" s="474"/>
      <c r="S11" s="438"/>
      <c r="T11" s="344"/>
      <c r="U11" s="344"/>
      <c r="V11" s="474"/>
    </row>
    <row r="12" spans="2:22" x14ac:dyDescent="0.25">
      <c r="B12" s="296" t="s">
        <v>209</v>
      </c>
      <c r="C12" s="438"/>
      <c r="D12" s="344"/>
      <c r="E12" s="344"/>
      <c r="F12" s="474"/>
      <c r="G12" s="438"/>
      <c r="H12" s="344"/>
      <c r="I12" s="344"/>
      <c r="J12" s="474"/>
      <c r="K12" s="438"/>
      <c r="L12" s="344"/>
      <c r="M12" s="344"/>
      <c r="N12" s="474"/>
      <c r="O12" s="438"/>
      <c r="P12" s="344"/>
      <c r="Q12" s="344"/>
      <c r="R12" s="474"/>
      <c r="S12" s="438"/>
      <c r="T12" s="344"/>
      <c r="U12" s="344"/>
      <c r="V12" s="474"/>
    </row>
    <row r="13" spans="2:22" x14ac:dyDescent="0.25">
      <c r="B13" s="511" t="s">
        <v>211</v>
      </c>
      <c r="C13" s="513">
        <v>376</v>
      </c>
      <c r="D13" s="514">
        <v>609</v>
      </c>
      <c r="E13" s="514">
        <v>529</v>
      </c>
      <c r="F13" s="521">
        <v>347</v>
      </c>
      <c r="G13" s="513">
        <v>229</v>
      </c>
      <c r="H13" s="514">
        <v>364</v>
      </c>
      <c r="I13" s="514">
        <v>287</v>
      </c>
      <c r="J13" s="521">
        <v>254</v>
      </c>
      <c r="K13" s="513">
        <v>417</v>
      </c>
      <c r="L13" s="514">
        <v>380</v>
      </c>
      <c r="M13" s="514">
        <v>270</v>
      </c>
      <c r="N13" s="521">
        <v>423</v>
      </c>
      <c r="O13" s="513">
        <v>385</v>
      </c>
      <c r="P13" s="514">
        <v>164</v>
      </c>
      <c r="Q13" s="514">
        <v>54</v>
      </c>
      <c r="R13" s="521">
        <v>20</v>
      </c>
      <c r="S13" s="674">
        <v>0</v>
      </c>
      <c r="T13" s="674">
        <v>0</v>
      </c>
      <c r="U13" s="514"/>
      <c r="V13" s="521"/>
    </row>
    <row r="14" spans="2:22" x14ac:dyDescent="0.25">
      <c r="B14" s="511" t="s">
        <v>207</v>
      </c>
      <c r="C14" s="513">
        <v>1232</v>
      </c>
      <c r="D14" s="514">
        <v>2367</v>
      </c>
      <c r="E14" s="514">
        <v>1177</v>
      </c>
      <c r="F14" s="521">
        <v>211</v>
      </c>
      <c r="G14" s="513">
        <v>1118</v>
      </c>
      <c r="H14" s="514">
        <v>1714</v>
      </c>
      <c r="I14" s="514">
        <v>1664</v>
      </c>
      <c r="J14" s="521">
        <v>1225</v>
      </c>
      <c r="K14" s="513">
        <v>1989</v>
      </c>
      <c r="L14" s="514">
        <v>1646</v>
      </c>
      <c r="M14" s="514">
        <v>1657</v>
      </c>
      <c r="N14" s="521">
        <v>933</v>
      </c>
      <c r="O14" s="513">
        <v>749</v>
      </c>
      <c r="P14" s="514">
        <v>83</v>
      </c>
      <c r="Q14" s="674">
        <v>0</v>
      </c>
      <c r="R14" s="676">
        <v>0</v>
      </c>
      <c r="S14" s="674">
        <v>0</v>
      </c>
      <c r="T14" s="674">
        <v>0</v>
      </c>
      <c r="U14" s="674"/>
      <c r="V14" s="676"/>
    </row>
    <row r="15" spans="2:22" x14ac:dyDescent="0.25">
      <c r="B15" s="512" t="s">
        <v>210</v>
      </c>
      <c r="C15" s="515">
        <v>1608</v>
      </c>
      <c r="D15" s="516">
        <v>2976</v>
      </c>
      <c r="E15" s="516">
        <v>1706</v>
      </c>
      <c r="F15" s="522">
        <v>558</v>
      </c>
      <c r="G15" s="515">
        <v>1347</v>
      </c>
      <c r="H15" s="516">
        <v>2078</v>
      </c>
      <c r="I15" s="516">
        <f>+I13+I14</f>
        <v>1951</v>
      </c>
      <c r="J15" s="522">
        <f>+J13+J14</f>
        <v>1479</v>
      </c>
      <c r="K15" s="515">
        <f t="shared" ref="K15:L15" si="3">+K13+K14</f>
        <v>2406</v>
      </c>
      <c r="L15" s="516">
        <f t="shared" si="3"/>
        <v>2026</v>
      </c>
      <c r="M15" s="516">
        <v>1927</v>
      </c>
      <c r="N15" s="522">
        <f>+N13+N14</f>
        <v>1356</v>
      </c>
      <c r="O15" s="515">
        <f t="shared" ref="O15:T15" si="4">+O13+O14</f>
        <v>1134</v>
      </c>
      <c r="P15" s="516">
        <f t="shared" si="4"/>
        <v>247</v>
      </c>
      <c r="Q15" s="516">
        <f t="shared" si="4"/>
        <v>54</v>
      </c>
      <c r="R15" s="522">
        <f t="shared" si="4"/>
        <v>20</v>
      </c>
      <c r="S15" s="712">
        <f t="shared" si="4"/>
        <v>0</v>
      </c>
      <c r="T15" s="679">
        <f t="shared" si="4"/>
        <v>0</v>
      </c>
      <c r="U15" s="516"/>
      <c r="V15" s="522"/>
    </row>
    <row r="16" spans="2:22" x14ac:dyDescent="0.25">
      <c r="B16" s="511" t="s">
        <v>212</v>
      </c>
      <c r="C16" s="535"/>
      <c r="D16" s="536"/>
      <c r="E16" s="536"/>
      <c r="F16" s="537"/>
      <c r="G16" s="513">
        <v>19</v>
      </c>
      <c r="H16" s="514">
        <v>2</v>
      </c>
      <c r="I16" s="514">
        <v>0</v>
      </c>
      <c r="J16" s="259">
        <v>0</v>
      </c>
      <c r="K16" s="513">
        <v>0</v>
      </c>
      <c r="L16" s="514">
        <v>19</v>
      </c>
      <c r="M16" s="514">
        <v>19</v>
      </c>
      <c r="N16" s="259">
        <v>39</v>
      </c>
      <c r="O16" s="513">
        <v>51</v>
      </c>
      <c r="P16" s="514">
        <v>200</v>
      </c>
      <c r="Q16" s="514">
        <v>83</v>
      </c>
      <c r="R16" s="675">
        <v>0</v>
      </c>
      <c r="S16" s="713">
        <v>0</v>
      </c>
      <c r="T16" s="714">
        <v>0</v>
      </c>
      <c r="U16" s="514"/>
      <c r="V16" s="675"/>
    </row>
    <row r="17" spans="2:22" x14ac:dyDescent="0.25">
      <c r="B17" s="511" t="s">
        <v>213</v>
      </c>
      <c r="C17" s="513">
        <v>50</v>
      </c>
      <c r="D17" s="514">
        <v>95</v>
      </c>
      <c r="E17" s="514">
        <v>51</v>
      </c>
      <c r="F17" s="259">
        <v>-32</v>
      </c>
      <c r="G17" s="513">
        <v>16</v>
      </c>
      <c r="H17" s="514">
        <v>34</v>
      </c>
      <c r="I17" s="514">
        <v>41</v>
      </c>
      <c r="J17" s="259">
        <v>25</v>
      </c>
      <c r="K17" s="513">
        <v>24</v>
      </c>
      <c r="L17" s="514">
        <v>39</v>
      </c>
      <c r="M17" s="514">
        <v>27</v>
      </c>
      <c r="N17" s="259">
        <v>2</v>
      </c>
      <c r="O17" s="513">
        <v>2</v>
      </c>
      <c r="P17" s="514">
        <v>9</v>
      </c>
      <c r="Q17" s="674">
        <v>0</v>
      </c>
      <c r="R17" s="676">
        <v>0</v>
      </c>
      <c r="S17" s="674">
        <v>0</v>
      </c>
      <c r="T17" s="674">
        <v>0</v>
      </c>
      <c r="U17" s="674"/>
      <c r="V17" s="676"/>
    </row>
    <row r="18" spans="2:22" x14ac:dyDescent="0.25">
      <c r="B18" s="511" t="s">
        <v>214</v>
      </c>
      <c r="C18" s="513">
        <v>360</v>
      </c>
      <c r="D18" s="514">
        <v>608</v>
      </c>
      <c r="E18" s="514">
        <v>321</v>
      </c>
      <c r="F18" s="521">
        <v>110</v>
      </c>
      <c r="G18" s="513">
        <v>196</v>
      </c>
      <c r="H18" s="514">
        <v>348</v>
      </c>
      <c r="I18" s="514">
        <v>409</v>
      </c>
      <c r="J18" s="521">
        <v>161</v>
      </c>
      <c r="K18" s="513">
        <v>358</v>
      </c>
      <c r="L18" s="514">
        <v>321</v>
      </c>
      <c r="M18" s="514">
        <v>199</v>
      </c>
      <c r="N18" s="521">
        <v>191</v>
      </c>
      <c r="O18" s="674">
        <v>0</v>
      </c>
      <c r="P18" s="674">
        <v>0</v>
      </c>
      <c r="Q18" s="674">
        <v>0</v>
      </c>
      <c r="R18" s="676">
        <v>0</v>
      </c>
      <c r="S18" s="674">
        <v>0</v>
      </c>
      <c r="T18" s="674">
        <v>0</v>
      </c>
      <c r="U18" s="674"/>
      <c r="V18" s="676"/>
    </row>
    <row r="19" spans="2:22" x14ac:dyDescent="0.25">
      <c r="B19" s="511"/>
      <c r="C19" s="513"/>
      <c r="D19" s="514"/>
      <c r="E19" s="514"/>
      <c r="F19" s="521"/>
      <c r="G19" s="513"/>
      <c r="H19" s="514"/>
      <c r="I19" s="514"/>
      <c r="J19" s="521"/>
      <c r="K19" s="513"/>
      <c r="L19" s="514"/>
      <c r="M19" s="514"/>
      <c r="N19" s="521"/>
      <c r="O19" s="513"/>
      <c r="P19" s="514"/>
      <c r="Q19" s="514"/>
      <c r="R19" s="521"/>
      <c r="S19" s="513"/>
      <c r="T19" s="514"/>
      <c r="U19" s="514"/>
      <c r="V19" s="521"/>
    </row>
    <row r="20" spans="2:22" x14ac:dyDescent="0.25">
      <c r="B20" s="296" t="s">
        <v>221</v>
      </c>
      <c r="C20" s="513"/>
      <c r="D20" s="514"/>
      <c r="E20" s="514"/>
      <c r="F20" s="521"/>
      <c r="G20" s="513"/>
      <c r="H20" s="514"/>
      <c r="I20" s="514"/>
      <c r="J20" s="521"/>
      <c r="K20" s="513"/>
      <c r="L20" s="514"/>
      <c r="M20" s="514"/>
      <c r="N20" s="521"/>
      <c r="O20" s="513"/>
      <c r="P20" s="514"/>
      <c r="Q20" s="514"/>
      <c r="R20" s="521"/>
      <c r="S20" s="513"/>
      <c r="T20" s="514"/>
      <c r="U20" s="514"/>
      <c r="V20" s="521"/>
    </row>
    <row r="21" spans="2:22" x14ac:dyDescent="0.25">
      <c r="B21" s="511" t="s">
        <v>211</v>
      </c>
      <c r="C21" s="533">
        <f t="shared" ref="C21:E21" si="5">+C5/C7</f>
        <v>0.24179829890643986</v>
      </c>
      <c r="D21" s="531">
        <f t="shared" si="5"/>
        <v>0.22884549503254539</v>
      </c>
      <c r="E21" s="531">
        <f t="shared" si="5"/>
        <v>0.39322444041137328</v>
      </c>
      <c r="F21" s="529">
        <f>+F5/F7</f>
        <v>0.45993589743589741</v>
      </c>
      <c r="G21" s="533">
        <f t="shared" ref="G21:I21" si="6">+G5/G7</f>
        <v>0.26662523306401492</v>
      </c>
      <c r="H21" s="531">
        <f t="shared" si="6"/>
        <v>0.19055201698513802</v>
      </c>
      <c r="I21" s="531">
        <f t="shared" si="6"/>
        <v>0.18154761904761904</v>
      </c>
      <c r="J21" s="529">
        <f>+J5/J7</f>
        <v>0.15312500000000001</v>
      </c>
      <c r="K21" s="533">
        <f t="shared" ref="K21:M21" si="7">+K5/K7</f>
        <v>0.15094339622641509</v>
      </c>
      <c r="L21" s="531">
        <f t="shared" si="7"/>
        <v>0.12807634354595682</v>
      </c>
      <c r="M21" s="531">
        <f t="shared" si="7"/>
        <v>0.10004904364884748</v>
      </c>
      <c r="N21" s="529">
        <f>+N5/N7</f>
        <v>0.25286532951289398</v>
      </c>
      <c r="O21" s="533">
        <f t="shared" ref="O21:P21" si="8">+O5/O7</f>
        <v>0.34989429175475689</v>
      </c>
      <c r="P21" s="531">
        <f t="shared" si="8"/>
        <v>0.92024539877300615</v>
      </c>
      <c r="Q21" s="674">
        <v>0</v>
      </c>
      <c r="R21" s="676">
        <v>0</v>
      </c>
      <c r="S21" s="674">
        <v>0</v>
      </c>
      <c r="T21" s="674">
        <v>0</v>
      </c>
      <c r="U21" s="674"/>
      <c r="V21" s="676"/>
    </row>
    <row r="22" spans="2:22" x14ac:dyDescent="0.25">
      <c r="B22" s="511" t="s">
        <v>207</v>
      </c>
      <c r="C22" s="533">
        <f t="shared" ref="C22:E22" si="9">+C6/C7</f>
        <v>0.75820170109356011</v>
      </c>
      <c r="D22" s="531">
        <f t="shared" si="9"/>
        <v>0.77115450496745463</v>
      </c>
      <c r="E22" s="531">
        <f t="shared" si="9"/>
        <v>0.60677555958862672</v>
      </c>
      <c r="F22" s="529">
        <f>+F6/F7</f>
        <v>0.54006410256410253</v>
      </c>
      <c r="G22" s="533">
        <f t="shared" ref="G22:I22" si="10">+G6/G7</f>
        <v>0.73337476693598513</v>
      </c>
      <c r="H22" s="531">
        <f t="shared" si="10"/>
        <v>0.80944798301486198</v>
      </c>
      <c r="I22" s="531">
        <f t="shared" si="10"/>
        <v>0.81845238095238093</v>
      </c>
      <c r="J22" s="529">
        <f>+J6/J7</f>
        <v>0.84687500000000004</v>
      </c>
      <c r="K22" s="533">
        <f t="shared" ref="K22:M22" si="11">+K6/K7</f>
        <v>0.84905660377358494</v>
      </c>
      <c r="L22" s="531">
        <f t="shared" si="11"/>
        <v>0.87192365645404324</v>
      </c>
      <c r="M22" s="531">
        <f t="shared" si="11"/>
        <v>0.89995095635115252</v>
      </c>
      <c r="N22" s="529">
        <f>+N6/N7</f>
        <v>0.74713467048710602</v>
      </c>
      <c r="O22" s="533">
        <f t="shared" ref="O22:P22" si="12">+O6/O7</f>
        <v>0.65010570824524316</v>
      </c>
      <c r="P22" s="531">
        <f t="shared" si="12"/>
        <v>7.9754601226993863E-2</v>
      </c>
      <c r="Q22" s="674">
        <v>0</v>
      </c>
      <c r="R22" s="676">
        <v>0</v>
      </c>
      <c r="S22" s="674">
        <v>0</v>
      </c>
      <c r="T22" s="674">
        <v>0</v>
      </c>
      <c r="U22" s="674"/>
      <c r="V22" s="676"/>
    </row>
    <row r="23" spans="2:22" x14ac:dyDescent="0.25">
      <c r="B23" s="512" t="s">
        <v>208</v>
      </c>
      <c r="C23" s="534">
        <f t="shared" ref="C23:E23" si="13">+C21+C22</f>
        <v>1</v>
      </c>
      <c r="D23" s="532">
        <f t="shared" si="13"/>
        <v>1</v>
      </c>
      <c r="E23" s="532">
        <f t="shared" si="13"/>
        <v>1</v>
      </c>
      <c r="F23" s="530">
        <f>+F21+F22</f>
        <v>1</v>
      </c>
      <c r="G23" s="534">
        <f t="shared" ref="G23:I23" si="14">+G21+G22</f>
        <v>1</v>
      </c>
      <c r="H23" s="532">
        <f t="shared" si="14"/>
        <v>1</v>
      </c>
      <c r="I23" s="532">
        <f t="shared" si="14"/>
        <v>1</v>
      </c>
      <c r="J23" s="530">
        <f>+J21+J22</f>
        <v>1</v>
      </c>
      <c r="K23" s="534">
        <f t="shared" ref="K23:M23" si="15">+K21+K22</f>
        <v>1</v>
      </c>
      <c r="L23" s="532">
        <f t="shared" si="15"/>
        <v>1</v>
      </c>
      <c r="M23" s="532">
        <f t="shared" si="15"/>
        <v>1</v>
      </c>
      <c r="N23" s="530">
        <f>+N21+N22</f>
        <v>1</v>
      </c>
      <c r="O23" s="534">
        <f t="shared" ref="O23:Q23" si="16">+O21+O22</f>
        <v>1</v>
      </c>
      <c r="P23" s="532">
        <f t="shared" si="16"/>
        <v>1</v>
      </c>
      <c r="Q23" s="679">
        <f t="shared" si="16"/>
        <v>0</v>
      </c>
      <c r="R23" s="680">
        <v>0</v>
      </c>
      <c r="S23" s="679">
        <f t="shared" ref="S23:T23" si="17">+S21+S22</f>
        <v>0</v>
      </c>
      <c r="T23" s="679">
        <f t="shared" si="17"/>
        <v>0</v>
      </c>
      <c r="U23" s="679"/>
      <c r="V23" s="680"/>
    </row>
    <row r="24" spans="2:22" x14ac:dyDescent="0.25">
      <c r="B24" s="511"/>
      <c r="C24" s="513"/>
      <c r="D24" s="514"/>
      <c r="E24" s="514"/>
      <c r="F24" s="521"/>
      <c r="G24" s="513"/>
      <c r="H24" s="514"/>
      <c r="I24" s="514"/>
      <c r="J24" s="521"/>
      <c r="K24" s="513"/>
      <c r="L24" s="514"/>
      <c r="M24" s="514"/>
      <c r="N24" s="521"/>
      <c r="O24" s="513"/>
      <c r="P24" s="514"/>
      <c r="Q24" s="514"/>
      <c r="R24" s="521"/>
      <c r="S24" s="513"/>
      <c r="T24" s="514"/>
      <c r="U24" s="514"/>
      <c r="V24" s="521"/>
    </row>
    <row r="25" spans="2:22" x14ac:dyDescent="0.25">
      <c r="B25" s="296" t="s">
        <v>222</v>
      </c>
      <c r="C25" s="513"/>
      <c r="D25" s="514"/>
      <c r="E25" s="514"/>
      <c r="F25" s="521"/>
      <c r="G25" s="513"/>
      <c r="H25" s="514"/>
      <c r="I25" s="514"/>
      <c r="J25" s="521"/>
      <c r="K25" s="513"/>
      <c r="L25" s="514"/>
      <c r="M25" s="514"/>
      <c r="N25" s="521"/>
      <c r="O25" s="513"/>
      <c r="P25" s="514"/>
      <c r="Q25" s="514"/>
      <c r="R25" s="521"/>
      <c r="S25" s="513"/>
      <c r="T25" s="514"/>
      <c r="U25" s="514"/>
      <c r="V25" s="521"/>
    </row>
    <row r="26" spans="2:22" x14ac:dyDescent="0.25">
      <c r="B26" s="511" t="s">
        <v>211</v>
      </c>
      <c r="C26" s="533">
        <f>+C13/C15</f>
        <v>0.23383084577114427</v>
      </c>
      <c r="D26" s="531">
        <f t="shared" ref="D26:F26" si="18">+D13/D15</f>
        <v>0.20463709677419356</v>
      </c>
      <c r="E26" s="531">
        <f t="shared" si="18"/>
        <v>0.31008206330597887</v>
      </c>
      <c r="F26" s="529">
        <f t="shared" si="18"/>
        <v>0.62186379928315416</v>
      </c>
      <c r="G26" s="533">
        <f>+G13/G15</f>
        <v>0.170007423904974</v>
      </c>
      <c r="H26" s="531">
        <f t="shared" ref="H26:J26" si="19">+H13/H15</f>
        <v>0.1751684311838306</v>
      </c>
      <c r="I26" s="531">
        <f t="shared" si="19"/>
        <v>0.14710404920553563</v>
      </c>
      <c r="J26" s="529">
        <f t="shared" si="19"/>
        <v>0.17173766058147397</v>
      </c>
      <c r="K26" s="533">
        <f>+K13/K15</f>
        <v>0.17331670822942644</v>
      </c>
      <c r="L26" s="531">
        <f t="shared" ref="L26:N26" si="20">+L13/L15</f>
        <v>0.18756169792694966</v>
      </c>
      <c r="M26" s="531">
        <f t="shared" si="20"/>
        <v>0.14011416709911781</v>
      </c>
      <c r="N26" s="529">
        <f t="shared" si="20"/>
        <v>0.31194690265486724</v>
      </c>
      <c r="O26" s="533">
        <f>+O13/O15</f>
        <v>0.33950617283950618</v>
      </c>
      <c r="P26" s="531">
        <f t="shared" ref="P26:R26" si="21">+P13/P15</f>
        <v>0.66396761133603244</v>
      </c>
      <c r="Q26" s="531">
        <f t="shared" si="21"/>
        <v>1</v>
      </c>
      <c r="R26" s="529">
        <f t="shared" si="21"/>
        <v>1</v>
      </c>
      <c r="S26" s="674">
        <v>0</v>
      </c>
      <c r="T26" s="674">
        <v>0</v>
      </c>
      <c r="U26" s="531"/>
      <c r="V26" s="529"/>
    </row>
    <row r="27" spans="2:22" x14ac:dyDescent="0.25">
      <c r="B27" s="511" t="s">
        <v>207</v>
      </c>
      <c r="C27" s="533">
        <f>+C14/C15</f>
        <v>0.76616915422885568</v>
      </c>
      <c r="D27" s="531">
        <f t="shared" ref="D27:F27" si="22">+D14/D15</f>
        <v>0.79536290322580649</v>
      </c>
      <c r="E27" s="531">
        <f t="shared" si="22"/>
        <v>0.68991793669402113</v>
      </c>
      <c r="F27" s="529">
        <f t="shared" si="22"/>
        <v>0.37813620071684589</v>
      </c>
      <c r="G27" s="533">
        <f>+G14/G15</f>
        <v>0.82999257609502597</v>
      </c>
      <c r="H27" s="531">
        <f t="shared" ref="H27:J27" si="23">+H14/H15</f>
        <v>0.82483156881616937</v>
      </c>
      <c r="I27" s="531">
        <f t="shared" si="23"/>
        <v>0.85289595079446434</v>
      </c>
      <c r="J27" s="529">
        <f t="shared" si="23"/>
        <v>0.82826233941852601</v>
      </c>
      <c r="K27" s="533">
        <f>+K14/K15</f>
        <v>0.82668329177057354</v>
      </c>
      <c r="L27" s="531">
        <f t="shared" ref="L27:N27" si="24">+L14/L15</f>
        <v>0.81243830207305034</v>
      </c>
      <c r="M27" s="531">
        <f t="shared" si="24"/>
        <v>0.85988583290088216</v>
      </c>
      <c r="N27" s="529">
        <f t="shared" si="24"/>
        <v>0.68805309734513276</v>
      </c>
      <c r="O27" s="533">
        <f>+O14/O15</f>
        <v>0.66049382716049387</v>
      </c>
      <c r="P27" s="531">
        <f t="shared" ref="P27:R27" si="25">+P14/P15</f>
        <v>0.33603238866396762</v>
      </c>
      <c r="Q27" s="531">
        <f t="shared" si="25"/>
        <v>0</v>
      </c>
      <c r="R27" s="529">
        <f t="shared" si="25"/>
        <v>0</v>
      </c>
      <c r="S27" s="674">
        <v>0</v>
      </c>
      <c r="T27" s="674">
        <v>0</v>
      </c>
      <c r="U27" s="531"/>
      <c r="V27" s="529"/>
    </row>
    <row r="28" spans="2:22" x14ac:dyDescent="0.25">
      <c r="B28" s="512" t="s">
        <v>210</v>
      </c>
      <c r="C28" s="534">
        <f t="shared" ref="C28" si="26">+C26+C27</f>
        <v>1</v>
      </c>
      <c r="D28" s="532">
        <f t="shared" ref="D28" si="27">+D26+D27</f>
        <v>1</v>
      </c>
      <c r="E28" s="532">
        <f t="shared" ref="E28" si="28">+E26+E27</f>
        <v>1</v>
      </c>
      <c r="F28" s="530">
        <f t="shared" ref="F28:I28" si="29">+F26+F27</f>
        <v>1</v>
      </c>
      <c r="G28" s="534">
        <f t="shared" si="29"/>
        <v>1</v>
      </c>
      <c r="H28" s="532">
        <f t="shared" si="29"/>
        <v>1</v>
      </c>
      <c r="I28" s="532">
        <f t="shared" si="29"/>
        <v>1</v>
      </c>
      <c r="J28" s="530">
        <f t="shared" ref="J28:M28" si="30">+J26+J27</f>
        <v>1</v>
      </c>
      <c r="K28" s="534">
        <f t="shared" si="30"/>
        <v>1</v>
      </c>
      <c r="L28" s="532">
        <f t="shared" si="30"/>
        <v>1</v>
      </c>
      <c r="M28" s="532">
        <f t="shared" si="30"/>
        <v>1</v>
      </c>
      <c r="N28" s="530">
        <f t="shared" ref="N28:O28" si="31">+N26+N27</f>
        <v>1</v>
      </c>
      <c r="O28" s="534">
        <f t="shared" si="31"/>
        <v>1</v>
      </c>
      <c r="P28" s="532">
        <f t="shared" ref="P28:T28" si="32">+P26+P27</f>
        <v>1</v>
      </c>
      <c r="Q28" s="532">
        <f t="shared" si="32"/>
        <v>1</v>
      </c>
      <c r="R28" s="530">
        <f t="shared" si="32"/>
        <v>1</v>
      </c>
      <c r="S28" s="679">
        <f t="shared" si="32"/>
        <v>0</v>
      </c>
      <c r="T28" s="679">
        <f t="shared" si="32"/>
        <v>0</v>
      </c>
      <c r="U28" s="532"/>
      <c r="V28" s="530"/>
    </row>
    <row r="29" spans="2:22" x14ac:dyDescent="0.25">
      <c r="C29" s="513"/>
      <c r="D29" s="344"/>
      <c r="E29" s="344"/>
      <c r="F29" s="474"/>
      <c r="G29" s="513"/>
      <c r="H29" s="344"/>
      <c r="I29" s="344"/>
      <c r="J29" s="474"/>
      <c r="K29" s="513"/>
      <c r="L29" s="344"/>
      <c r="M29" s="344"/>
      <c r="N29" s="474"/>
      <c r="O29" s="513"/>
      <c r="P29" s="344"/>
      <c r="Q29" s="344"/>
      <c r="R29" s="474"/>
      <c r="S29" s="513"/>
      <c r="T29" s="344"/>
      <c r="U29" s="344"/>
      <c r="V29" s="474"/>
    </row>
    <row r="30" spans="2:22" x14ac:dyDescent="0.25">
      <c r="B30" s="296" t="s">
        <v>135</v>
      </c>
      <c r="C30" s="513"/>
      <c r="D30" s="344"/>
      <c r="E30" s="344"/>
      <c r="F30" s="474"/>
      <c r="G30" s="513"/>
      <c r="H30" s="344"/>
      <c r="I30" s="344"/>
      <c r="J30" s="474"/>
      <c r="K30" s="513"/>
      <c r="L30" s="344"/>
      <c r="M30" s="344"/>
      <c r="N30" s="474"/>
      <c r="O30" s="513"/>
      <c r="P30" s="344"/>
      <c r="Q30" s="344"/>
      <c r="R30" s="474"/>
      <c r="S30" s="513"/>
      <c r="T30" s="344"/>
      <c r="U30" s="344"/>
      <c r="V30" s="474"/>
    </row>
    <row r="31" spans="2:22" x14ac:dyDescent="0.25">
      <c r="B31" s="321" t="s">
        <v>66</v>
      </c>
      <c r="C31" s="438">
        <v>770</v>
      </c>
      <c r="D31" s="344">
        <v>1404</v>
      </c>
      <c r="E31" s="344">
        <v>656</v>
      </c>
      <c r="F31" s="474">
        <v>311</v>
      </c>
      <c r="G31" s="438">
        <v>676</v>
      </c>
      <c r="H31" s="344">
        <v>1001</v>
      </c>
      <c r="I31" s="344">
        <v>788</v>
      </c>
      <c r="J31" s="474">
        <v>559</v>
      </c>
      <c r="K31" s="438">
        <v>866</v>
      </c>
      <c r="L31" s="344">
        <v>819</v>
      </c>
      <c r="M31" s="344">
        <v>653</v>
      </c>
      <c r="N31" s="474">
        <v>446</v>
      </c>
      <c r="O31" s="438">
        <v>376</v>
      </c>
      <c r="P31" s="344">
        <v>114</v>
      </c>
      <c r="Q31" s="344">
        <v>20</v>
      </c>
      <c r="R31" s="474">
        <v>8</v>
      </c>
      <c r="S31" s="681">
        <v>0</v>
      </c>
      <c r="T31" s="344">
        <v>5</v>
      </c>
      <c r="U31" s="344"/>
      <c r="V31" s="474"/>
    </row>
    <row r="32" spans="2:22" x14ac:dyDescent="0.25">
      <c r="B32" s="250" t="s">
        <v>132</v>
      </c>
      <c r="C32" s="361">
        <v>-864</v>
      </c>
      <c r="D32" s="417">
        <v>-1260</v>
      </c>
      <c r="E32" s="417">
        <v>-882</v>
      </c>
      <c r="F32" s="431">
        <v>-624</v>
      </c>
      <c r="G32" s="361">
        <v>-922</v>
      </c>
      <c r="H32" s="417">
        <v>-1407</v>
      </c>
      <c r="I32" s="417">
        <v>-1100</v>
      </c>
      <c r="J32" s="431">
        <v>-900</v>
      </c>
      <c r="K32" s="361">
        <v>-1036</v>
      </c>
      <c r="L32" s="417">
        <v>-878</v>
      </c>
      <c r="M32" s="417">
        <v>-775</v>
      </c>
      <c r="N32" s="431">
        <v>-695</v>
      </c>
      <c r="O32" s="361">
        <v>-521</v>
      </c>
      <c r="P32" s="417">
        <v>-226</v>
      </c>
      <c r="Q32" s="417">
        <v>-14</v>
      </c>
      <c r="R32" s="431">
        <v>-6</v>
      </c>
      <c r="S32" s="711">
        <v>0</v>
      </c>
      <c r="T32" s="417">
        <v>-5</v>
      </c>
      <c r="U32" s="417"/>
      <c r="V32" s="431"/>
    </row>
    <row r="33" spans="2:22" x14ac:dyDescent="0.25">
      <c r="B33" s="250"/>
      <c r="C33" s="457">
        <f t="shared" ref="C33:J33" si="33">+C31+C32</f>
        <v>-94</v>
      </c>
      <c r="D33" s="458">
        <f t="shared" si="33"/>
        <v>144</v>
      </c>
      <c r="E33" s="458">
        <f t="shared" si="33"/>
        <v>-226</v>
      </c>
      <c r="F33" s="459">
        <f t="shared" si="33"/>
        <v>-313</v>
      </c>
      <c r="G33" s="457">
        <f t="shared" si="33"/>
        <v>-246</v>
      </c>
      <c r="H33" s="458">
        <f t="shared" si="33"/>
        <v>-406</v>
      </c>
      <c r="I33" s="458">
        <f t="shared" si="33"/>
        <v>-312</v>
      </c>
      <c r="J33" s="459">
        <f t="shared" si="33"/>
        <v>-341</v>
      </c>
      <c r="K33" s="457">
        <f t="shared" ref="K33:N33" si="34">+K31+K32</f>
        <v>-170</v>
      </c>
      <c r="L33" s="458">
        <f t="shared" si="34"/>
        <v>-59</v>
      </c>
      <c r="M33" s="458">
        <f t="shared" si="34"/>
        <v>-122</v>
      </c>
      <c r="N33" s="459">
        <f t="shared" si="34"/>
        <v>-249</v>
      </c>
      <c r="O33" s="457">
        <f t="shared" ref="O33:R33" si="35">+O31+O32</f>
        <v>-145</v>
      </c>
      <c r="P33" s="458">
        <f t="shared" si="35"/>
        <v>-112</v>
      </c>
      <c r="Q33" s="458">
        <f t="shared" si="35"/>
        <v>6</v>
      </c>
      <c r="R33" s="459">
        <f t="shared" si="35"/>
        <v>2</v>
      </c>
      <c r="S33" s="681">
        <f t="shared" ref="S33:V33" si="36">+S31+S32</f>
        <v>0</v>
      </c>
      <c r="T33" s="714">
        <f t="shared" si="36"/>
        <v>0</v>
      </c>
      <c r="U33" s="458">
        <f t="shared" si="36"/>
        <v>0</v>
      </c>
      <c r="V33" s="459">
        <f t="shared" si="36"/>
        <v>0</v>
      </c>
    </row>
    <row r="34" spans="2:22" x14ac:dyDescent="0.25">
      <c r="B34" s="250" t="s">
        <v>67</v>
      </c>
      <c r="C34" s="213">
        <v>-6</v>
      </c>
      <c r="D34" s="214">
        <v>-54</v>
      </c>
      <c r="E34" s="214">
        <v>-55</v>
      </c>
      <c r="F34" s="259">
        <v>-38</v>
      </c>
      <c r="G34" s="213">
        <v>-47</v>
      </c>
      <c r="H34" s="214">
        <v>-47</v>
      </c>
      <c r="I34" s="214">
        <v>-49</v>
      </c>
      <c r="J34" s="259">
        <v>-56</v>
      </c>
      <c r="K34" s="213">
        <v>-5</v>
      </c>
      <c r="L34" s="214">
        <v>-7</v>
      </c>
      <c r="M34" s="214">
        <v>-8</v>
      </c>
      <c r="N34" s="259">
        <v>-9</v>
      </c>
      <c r="O34" s="213">
        <v>-1</v>
      </c>
      <c r="P34" s="214">
        <v>-1</v>
      </c>
      <c r="Q34" s="681">
        <v>0</v>
      </c>
      <c r="R34" s="682">
        <v>0</v>
      </c>
      <c r="S34" s="681">
        <v>0</v>
      </c>
      <c r="T34" s="681">
        <v>0</v>
      </c>
      <c r="U34" s="681"/>
      <c r="V34" s="682"/>
    </row>
    <row r="35" spans="2:22" x14ac:dyDescent="0.25">
      <c r="B35" s="250" t="s">
        <v>68</v>
      </c>
      <c r="C35" s="213">
        <v>-10</v>
      </c>
      <c r="D35" s="214">
        <v>-4</v>
      </c>
      <c r="E35" s="214">
        <v>-55</v>
      </c>
      <c r="F35" s="259">
        <v>32</v>
      </c>
      <c r="G35" s="213">
        <v>-37</v>
      </c>
      <c r="H35" s="214">
        <v>68</v>
      </c>
      <c r="I35" s="214">
        <v>-19</v>
      </c>
      <c r="J35" s="259">
        <v>-3539</v>
      </c>
      <c r="K35" s="213">
        <v>58</v>
      </c>
      <c r="L35" s="214">
        <v>114</v>
      </c>
      <c r="M35" s="214">
        <v>370</v>
      </c>
      <c r="N35" s="259">
        <v>-485</v>
      </c>
      <c r="O35" s="213">
        <v>33</v>
      </c>
      <c r="P35" s="214">
        <v>-146</v>
      </c>
      <c r="Q35" s="214">
        <v>-279</v>
      </c>
      <c r="R35" s="259">
        <v>-1061</v>
      </c>
      <c r="S35" s="681">
        <v>-212</v>
      </c>
      <c r="T35" s="214">
        <v>-268</v>
      </c>
      <c r="U35" s="214"/>
      <c r="V35" s="259"/>
    </row>
    <row r="36" spans="2:22" x14ac:dyDescent="0.25">
      <c r="B36" s="250" t="s">
        <v>179</v>
      </c>
      <c r="C36" s="438">
        <v>0</v>
      </c>
      <c r="D36" s="344">
        <v>0</v>
      </c>
      <c r="E36" s="344">
        <v>0</v>
      </c>
      <c r="F36" s="474">
        <v>0</v>
      </c>
      <c r="G36" s="683">
        <v>0</v>
      </c>
      <c r="H36" s="684">
        <v>0</v>
      </c>
      <c r="I36" s="684">
        <v>0</v>
      </c>
      <c r="J36" s="685">
        <v>0</v>
      </c>
      <c r="K36" s="683">
        <v>0</v>
      </c>
      <c r="L36" s="684">
        <v>0</v>
      </c>
      <c r="M36" s="684">
        <v>0</v>
      </c>
      <c r="N36" s="685">
        <v>0</v>
      </c>
      <c r="O36" s="683">
        <v>0</v>
      </c>
      <c r="P36" s="684">
        <v>0</v>
      </c>
      <c r="Q36" s="684">
        <v>0</v>
      </c>
      <c r="R36" s="685">
        <v>0</v>
      </c>
      <c r="S36" s="681">
        <v>0</v>
      </c>
      <c r="T36" s="684">
        <v>0</v>
      </c>
      <c r="U36" s="684"/>
      <c r="V36" s="685"/>
    </row>
    <row r="37" spans="2:22" x14ac:dyDescent="0.25">
      <c r="B37" s="250" t="s">
        <v>69</v>
      </c>
      <c r="C37" s="438">
        <v>0</v>
      </c>
      <c r="D37" s="344">
        <v>0</v>
      </c>
      <c r="E37" s="344">
        <v>0</v>
      </c>
      <c r="F37" s="474">
        <v>0</v>
      </c>
      <c r="G37" s="683">
        <v>0</v>
      </c>
      <c r="H37" s="684">
        <v>0</v>
      </c>
      <c r="I37" s="684">
        <v>0</v>
      </c>
      <c r="J37" s="685">
        <v>0</v>
      </c>
      <c r="K37" s="683">
        <v>0</v>
      </c>
      <c r="L37" s="684">
        <v>0</v>
      </c>
      <c r="M37" s="684">
        <v>0</v>
      </c>
      <c r="N37" s="685">
        <v>0</v>
      </c>
      <c r="O37" s="683">
        <v>0</v>
      </c>
      <c r="P37" s="684">
        <v>0</v>
      </c>
      <c r="Q37" s="684">
        <v>0</v>
      </c>
      <c r="R37" s="685">
        <v>0</v>
      </c>
      <c r="S37" s="681">
        <v>0</v>
      </c>
      <c r="T37" s="684">
        <v>0</v>
      </c>
      <c r="U37" s="684"/>
      <c r="V37" s="685"/>
    </row>
    <row r="38" spans="2:22" ht="15.75" thickBot="1" x14ac:dyDescent="0.3">
      <c r="B38" s="303" t="s">
        <v>70</v>
      </c>
      <c r="C38" s="526">
        <f t="shared" ref="C38:J38" si="37">SUM(C33:C37)</f>
        <v>-110</v>
      </c>
      <c r="D38" s="527">
        <f t="shared" si="37"/>
        <v>86</v>
      </c>
      <c r="E38" s="527">
        <f t="shared" si="37"/>
        <v>-336</v>
      </c>
      <c r="F38" s="528">
        <f t="shared" si="37"/>
        <v>-319</v>
      </c>
      <c r="G38" s="526">
        <f t="shared" si="37"/>
        <v>-330</v>
      </c>
      <c r="H38" s="527">
        <f t="shared" si="37"/>
        <v>-385</v>
      </c>
      <c r="I38" s="527">
        <f t="shared" si="37"/>
        <v>-380</v>
      </c>
      <c r="J38" s="528">
        <f t="shared" si="37"/>
        <v>-3936</v>
      </c>
      <c r="K38" s="526">
        <f t="shared" ref="K38:N38" si="38">SUM(K33:K37)</f>
        <v>-117</v>
      </c>
      <c r="L38" s="527">
        <f t="shared" si="38"/>
        <v>48</v>
      </c>
      <c r="M38" s="527">
        <f t="shared" si="38"/>
        <v>240</v>
      </c>
      <c r="N38" s="528">
        <f t="shared" si="38"/>
        <v>-743</v>
      </c>
      <c r="O38" s="526">
        <f t="shared" ref="O38:R38" si="39">SUM(O33:O37)</f>
        <v>-113</v>
      </c>
      <c r="P38" s="527">
        <f t="shared" si="39"/>
        <v>-259</v>
      </c>
      <c r="Q38" s="527">
        <f t="shared" si="39"/>
        <v>-273</v>
      </c>
      <c r="R38" s="528">
        <f t="shared" si="39"/>
        <v>-1059</v>
      </c>
      <c r="S38" s="526">
        <f t="shared" ref="S38:V38" si="40">SUM(S33:S37)</f>
        <v>-212</v>
      </c>
      <c r="T38" s="527">
        <f t="shared" si="40"/>
        <v>-268</v>
      </c>
      <c r="U38" s="527">
        <f t="shared" si="40"/>
        <v>0</v>
      </c>
      <c r="V38" s="528">
        <f t="shared" si="40"/>
        <v>0</v>
      </c>
    </row>
    <row r="39" spans="2:22" ht="15.75" thickTop="1" x14ac:dyDescent="0.25">
      <c r="C39" s="438"/>
      <c r="D39" s="344"/>
      <c r="E39" s="344"/>
      <c r="F39" s="474"/>
      <c r="G39" s="438"/>
      <c r="H39" s="344"/>
      <c r="I39" s="344"/>
      <c r="J39" s="474"/>
      <c r="K39" s="438"/>
      <c r="L39" s="344"/>
      <c r="M39" s="344"/>
      <c r="N39" s="474"/>
      <c r="O39" s="438"/>
      <c r="P39" s="344"/>
      <c r="Q39" s="344"/>
      <c r="R39" s="474"/>
      <c r="S39" s="438"/>
      <c r="T39" s="344"/>
      <c r="U39" s="344"/>
      <c r="V39" s="474"/>
    </row>
    <row r="40" spans="2:22" x14ac:dyDescent="0.25">
      <c r="B40" s="296" t="s">
        <v>134</v>
      </c>
      <c r="C40" s="438"/>
      <c r="D40" s="344"/>
      <c r="E40" s="344"/>
      <c r="F40" s="474"/>
      <c r="G40" s="438"/>
      <c r="H40" s="344"/>
      <c r="I40" s="344"/>
      <c r="J40" s="474"/>
      <c r="K40" s="438"/>
      <c r="L40" s="344"/>
      <c r="M40" s="344"/>
      <c r="N40" s="474"/>
      <c r="O40" s="438"/>
      <c r="P40" s="344"/>
      <c r="Q40" s="344"/>
      <c r="R40" s="474"/>
      <c r="S40" s="438"/>
      <c r="T40" s="344"/>
      <c r="U40" s="344"/>
      <c r="V40" s="474"/>
    </row>
    <row r="41" spans="2:22" x14ac:dyDescent="0.25">
      <c r="B41" s="208" t="s">
        <v>59</v>
      </c>
      <c r="C41" s="438"/>
      <c r="D41" s="344"/>
      <c r="E41" s="344"/>
      <c r="F41" s="474"/>
      <c r="G41" s="438"/>
      <c r="H41" s="344"/>
      <c r="I41" s="344"/>
      <c r="J41" s="474"/>
      <c r="K41" s="438"/>
      <c r="L41" s="344"/>
      <c r="M41" s="344"/>
      <c r="N41" s="474"/>
      <c r="O41" s="438"/>
      <c r="P41" s="344"/>
      <c r="Q41" s="344"/>
      <c r="R41" s="474"/>
      <c r="S41" s="438"/>
      <c r="T41" s="344"/>
      <c r="U41" s="344"/>
      <c r="V41" s="474"/>
    </row>
    <row r="42" spans="2:22" x14ac:dyDescent="0.25">
      <c r="B42" s="208" t="s">
        <v>61</v>
      </c>
      <c r="C42" s="438">
        <v>10</v>
      </c>
      <c r="D42" s="344">
        <v>19</v>
      </c>
      <c r="E42" s="344">
        <v>23</v>
      </c>
      <c r="F42" s="474">
        <v>37</v>
      </c>
      <c r="G42" s="438">
        <v>44</v>
      </c>
      <c r="H42" s="344">
        <v>51</v>
      </c>
      <c r="I42" s="344">
        <v>82</v>
      </c>
      <c r="J42" s="474">
        <v>70</v>
      </c>
      <c r="K42" s="438">
        <v>62</v>
      </c>
      <c r="L42" s="344">
        <v>45</v>
      </c>
      <c r="M42" s="344">
        <v>33</v>
      </c>
      <c r="N42" s="474">
        <v>34</v>
      </c>
      <c r="O42" s="438">
        <v>28</v>
      </c>
      <c r="P42" s="684">
        <v>0</v>
      </c>
      <c r="Q42" s="684">
        <v>0</v>
      </c>
      <c r="R42" s="685">
        <v>0</v>
      </c>
      <c r="S42" s="684">
        <v>0</v>
      </c>
      <c r="T42" s="684">
        <v>0</v>
      </c>
      <c r="U42" s="684"/>
      <c r="V42" s="685"/>
    </row>
    <row r="43" spans="2:22" x14ac:dyDescent="0.25">
      <c r="B43" s="208" t="s">
        <v>63</v>
      </c>
      <c r="C43" s="438"/>
      <c r="D43" s="344"/>
      <c r="E43" s="344"/>
      <c r="F43" s="474"/>
      <c r="G43" s="438"/>
      <c r="H43" s="344"/>
      <c r="I43" s="344"/>
      <c r="J43" s="474"/>
      <c r="K43" s="438"/>
      <c r="L43" s="344"/>
      <c r="M43" s="344"/>
      <c r="N43" s="474"/>
      <c r="O43" s="438"/>
      <c r="P43" s="684"/>
      <c r="Q43" s="684"/>
      <c r="R43" s="685"/>
      <c r="S43" s="438"/>
      <c r="T43" s="684"/>
      <c r="U43" s="684"/>
      <c r="V43" s="685"/>
    </row>
    <row r="44" spans="2:22" x14ac:dyDescent="0.25">
      <c r="B44" s="1" t="s">
        <v>64</v>
      </c>
      <c r="C44" s="517">
        <f t="shared" ref="C44:J44" si="41">SUM(C41:C43)</f>
        <v>10</v>
      </c>
      <c r="D44" s="518">
        <f t="shared" si="41"/>
        <v>19</v>
      </c>
      <c r="E44" s="518">
        <f t="shared" si="41"/>
        <v>23</v>
      </c>
      <c r="F44" s="519">
        <f t="shared" si="41"/>
        <v>37</v>
      </c>
      <c r="G44" s="517">
        <f t="shared" si="41"/>
        <v>44</v>
      </c>
      <c r="H44" s="518">
        <f t="shared" si="41"/>
        <v>51</v>
      </c>
      <c r="I44" s="518">
        <f t="shared" si="41"/>
        <v>82</v>
      </c>
      <c r="J44" s="519">
        <f t="shared" si="41"/>
        <v>70</v>
      </c>
      <c r="K44" s="517">
        <f t="shared" ref="K44:N44" si="42">SUM(K41:K43)</f>
        <v>62</v>
      </c>
      <c r="L44" s="518">
        <f t="shared" si="42"/>
        <v>45</v>
      </c>
      <c r="M44" s="518">
        <f t="shared" si="42"/>
        <v>33</v>
      </c>
      <c r="N44" s="519">
        <f t="shared" si="42"/>
        <v>34</v>
      </c>
      <c r="O44" s="517">
        <f t="shared" ref="O44:R44" si="43">SUM(O41:O43)</f>
        <v>28</v>
      </c>
      <c r="P44" s="686">
        <f t="shared" si="43"/>
        <v>0</v>
      </c>
      <c r="Q44" s="686">
        <f t="shared" si="43"/>
        <v>0</v>
      </c>
      <c r="R44" s="687">
        <f t="shared" si="43"/>
        <v>0</v>
      </c>
      <c r="S44" s="686">
        <f t="shared" ref="S44:V44" si="44">SUM(S41:S43)</f>
        <v>0</v>
      </c>
      <c r="T44" s="686">
        <f t="shared" si="44"/>
        <v>0</v>
      </c>
      <c r="U44" s="686">
        <f t="shared" si="44"/>
        <v>0</v>
      </c>
      <c r="V44" s="687">
        <f t="shared" si="44"/>
        <v>0</v>
      </c>
    </row>
    <row r="45" spans="2:22" x14ac:dyDescent="0.25">
      <c r="C45" s="438"/>
      <c r="D45" s="344"/>
      <c r="E45" s="344"/>
      <c r="F45" s="474"/>
      <c r="G45" s="438"/>
      <c r="H45" s="344"/>
      <c r="I45" s="344"/>
      <c r="J45" s="474"/>
      <c r="K45" s="438"/>
      <c r="L45" s="344"/>
      <c r="M45" s="344"/>
      <c r="N45" s="474"/>
      <c r="O45" s="438"/>
      <c r="P45" s="684"/>
      <c r="Q45" s="684"/>
      <c r="R45" s="685"/>
      <c r="S45" s="438"/>
      <c r="T45" s="684"/>
      <c r="U45" s="684"/>
      <c r="V45" s="685"/>
    </row>
    <row r="46" spans="2:22" x14ac:dyDescent="0.25">
      <c r="B46" s="296" t="s">
        <v>71</v>
      </c>
      <c r="C46" s="438"/>
      <c r="D46" s="344"/>
      <c r="E46" s="344"/>
      <c r="F46" s="474"/>
      <c r="G46" s="438"/>
      <c r="H46" s="344"/>
      <c r="I46" s="344"/>
      <c r="J46" s="474"/>
      <c r="K46" s="438"/>
      <c r="L46" s="344"/>
      <c r="M46" s="344"/>
      <c r="N46" s="474"/>
      <c r="O46" s="438"/>
      <c r="P46" s="684"/>
      <c r="Q46" s="684"/>
      <c r="R46" s="685"/>
      <c r="S46" s="438"/>
      <c r="T46" s="684"/>
      <c r="U46" s="684"/>
      <c r="V46" s="685"/>
    </row>
    <row r="47" spans="2:22" x14ac:dyDescent="0.25">
      <c r="B47" s="208" t="s">
        <v>216</v>
      </c>
      <c r="C47" s="513">
        <v>478855.72139303503</v>
      </c>
      <c r="D47" s="514">
        <v>471774.19354838697</v>
      </c>
      <c r="E47" s="514">
        <v>384525.20515826502</v>
      </c>
      <c r="F47" s="521">
        <v>557347.67025089602</v>
      </c>
      <c r="G47" s="513">
        <v>501856</v>
      </c>
      <c r="H47" s="514">
        <v>481713</v>
      </c>
      <c r="I47" s="514">
        <v>403895</v>
      </c>
      <c r="J47" s="521">
        <v>377958</v>
      </c>
      <c r="K47" s="513">
        <v>359933</v>
      </c>
      <c r="L47" s="514">
        <v>404245</v>
      </c>
      <c r="M47" s="514">
        <v>338869</v>
      </c>
      <c r="N47" s="521">
        <v>328909</v>
      </c>
      <c r="O47" s="513">
        <v>331570</v>
      </c>
      <c r="P47" s="688" t="s">
        <v>265</v>
      </c>
      <c r="Q47" s="688" t="s">
        <v>265</v>
      </c>
      <c r="R47" s="676">
        <v>0</v>
      </c>
      <c r="S47" s="688" t="s">
        <v>265</v>
      </c>
      <c r="T47" s="688" t="s">
        <v>265</v>
      </c>
      <c r="U47" s="688"/>
      <c r="V47" s="676"/>
    </row>
    <row r="48" spans="2:22" x14ac:dyDescent="0.25">
      <c r="B48" s="208" t="s">
        <v>215</v>
      </c>
      <c r="C48" s="513">
        <v>31462.2681598577</v>
      </c>
      <c r="D48" s="514">
        <v>30261.333774752198</v>
      </c>
      <c r="E48" s="514">
        <v>22552.797956496499</v>
      </c>
      <c r="F48" s="521">
        <v>31649.498594599401</v>
      </c>
      <c r="G48" s="513">
        <v>28258</v>
      </c>
      <c r="H48" s="514">
        <f t="shared" ref="H48:N48" si="45">+H47/H51</f>
        <v>25815.273311897105</v>
      </c>
      <c r="I48" s="514">
        <f t="shared" si="45"/>
        <v>21726.465841850459</v>
      </c>
      <c r="J48" s="521">
        <f t="shared" si="45"/>
        <v>20265.84450402145</v>
      </c>
      <c r="K48" s="513">
        <f t="shared" si="45"/>
        <v>19084.464475079534</v>
      </c>
      <c r="L48" s="514">
        <f t="shared" si="45"/>
        <v>21768.712977921379</v>
      </c>
      <c r="M48" s="514">
        <f t="shared" si="45"/>
        <v>18867.984409799552</v>
      </c>
      <c r="N48" s="521">
        <f t="shared" si="45"/>
        <v>18395.357941834453</v>
      </c>
      <c r="O48" s="513">
        <f t="shared" ref="O48" si="46">+O47/O51</f>
        <v>17942.099567099565</v>
      </c>
      <c r="P48" s="688" t="s">
        <v>265</v>
      </c>
      <c r="Q48" s="688" t="s">
        <v>265</v>
      </c>
      <c r="R48" s="676">
        <v>0</v>
      </c>
      <c r="S48" s="688" t="s">
        <v>265</v>
      </c>
      <c r="T48" s="688" t="s">
        <v>265</v>
      </c>
      <c r="U48" s="688"/>
      <c r="V48" s="676"/>
    </row>
    <row r="49" spans="2:22" x14ac:dyDescent="0.25">
      <c r="B49" s="208" t="s">
        <v>217</v>
      </c>
      <c r="C49" s="513">
        <v>536069.65174129303</v>
      </c>
      <c r="D49" s="514">
        <v>418682.79569892498</v>
      </c>
      <c r="E49" s="514">
        <v>514654.16178194602</v>
      </c>
      <c r="F49" s="521">
        <v>1118279.56989247</v>
      </c>
      <c r="G49" s="513">
        <v>688196</v>
      </c>
      <c r="H49" s="514">
        <v>678537</v>
      </c>
      <c r="I49" s="514">
        <v>585853</v>
      </c>
      <c r="J49" s="521">
        <v>672752</v>
      </c>
      <c r="K49" s="513">
        <v>439318</v>
      </c>
      <c r="L49" s="514">
        <v>447680</v>
      </c>
      <c r="M49" s="514">
        <v>403217</v>
      </c>
      <c r="N49" s="521">
        <v>537611</v>
      </c>
      <c r="O49" s="513">
        <v>455026</v>
      </c>
      <c r="P49" s="688" t="s">
        <v>265</v>
      </c>
      <c r="Q49" s="688" t="s">
        <v>265</v>
      </c>
      <c r="R49" s="676">
        <v>0</v>
      </c>
      <c r="S49" s="688" t="s">
        <v>265</v>
      </c>
      <c r="T49" s="688" t="s">
        <v>265</v>
      </c>
      <c r="U49" s="688"/>
      <c r="V49" s="676"/>
    </row>
    <row r="50" spans="2:22" x14ac:dyDescent="0.25">
      <c r="B50" s="208" t="s">
        <v>218</v>
      </c>
      <c r="C50" s="513">
        <v>35221.396303633002</v>
      </c>
      <c r="D50" s="514">
        <v>26855.856042265899</v>
      </c>
      <c r="E50" s="514">
        <v>30184.994825920599</v>
      </c>
      <c r="F50" s="521">
        <v>63502.5309422188</v>
      </c>
      <c r="G50" s="513">
        <v>38750</v>
      </c>
      <c r="H50" s="514">
        <f t="shared" ref="H50:N50" si="47">+H49/H51</f>
        <v>36363.183279742763</v>
      </c>
      <c r="I50" s="514">
        <f t="shared" si="47"/>
        <v>31514.416352877892</v>
      </c>
      <c r="J50" s="521">
        <f t="shared" si="47"/>
        <v>36072.493297587134</v>
      </c>
      <c r="K50" s="513">
        <f t="shared" si="47"/>
        <v>23293.637327677625</v>
      </c>
      <c r="L50" s="514">
        <f t="shared" si="47"/>
        <v>24107.700592353256</v>
      </c>
      <c r="M50" s="514">
        <f t="shared" si="47"/>
        <v>22450.835189309575</v>
      </c>
      <c r="N50" s="521">
        <f t="shared" si="47"/>
        <v>30067.729306487698</v>
      </c>
      <c r="O50" s="513">
        <f t="shared" ref="O50" si="48">+O49/O51</f>
        <v>24622.619047619046</v>
      </c>
      <c r="P50" s="688" t="s">
        <v>265</v>
      </c>
      <c r="Q50" s="688" t="s">
        <v>265</v>
      </c>
      <c r="R50" s="676">
        <v>0</v>
      </c>
      <c r="S50" s="688" t="s">
        <v>265</v>
      </c>
      <c r="T50" s="688" t="s">
        <v>265</v>
      </c>
      <c r="U50" s="688"/>
      <c r="V50" s="676"/>
    </row>
    <row r="51" spans="2:22" x14ac:dyDescent="0.25">
      <c r="B51" s="227" t="s">
        <v>83</v>
      </c>
      <c r="C51" s="503">
        <v>15.22</v>
      </c>
      <c r="D51" s="503">
        <v>15.59</v>
      </c>
      <c r="E51" s="503">
        <v>17.05</v>
      </c>
      <c r="F51" s="504">
        <v>17.61</v>
      </c>
      <c r="G51" s="503">
        <v>17.760000000000002</v>
      </c>
      <c r="H51" s="503">
        <v>18.66</v>
      </c>
      <c r="I51" s="297">
        <v>18.59</v>
      </c>
      <c r="J51" s="504">
        <v>18.649999999999999</v>
      </c>
      <c r="K51" s="503">
        <v>18.86</v>
      </c>
      <c r="L51" s="503">
        <v>18.57</v>
      </c>
      <c r="M51" s="297">
        <v>17.96</v>
      </c>
      <c r="N51" s="326">
        <v>17.88</v>
      </c>
      <c r="O51" s="301">
        <v>18.48</v>
      </c>
      <c r="P51" s="691">
        <v>18.29</v>
      </c>
      <c r="Q51" s="691">
        <v>17.64</v>
      </c>
      <c r="R51" s="692">
        <v>17.11</v>
      </c>
      <c r="S51" s="301">
        <v>16.34</v>
      </c>
      <c r="T51" s="691">
        <v>16.48</v>
      </c>
      <c r="U51" s="691"/>
      <c r="V51" s="692"/>
    </row>
    <row r="52" spans="2:22" x14ac:dyDescent="0.25">
      <c r="C52" s="225"/>
      <c r="F52" s="227"/>
      <c r="G52" s="225"/>
      <c r="J52" s="227"/>
      <c r="K52" s="225"/>
      <c r="N52" s="227"/>
      <c r="O52" s="225"/>
      <c r="P52" s="684"/>
      <c r="Q52" s="684"/>
      <c r="R52" s="685"/>
      <c r="S52" s="225"/>
      <c r="T52" s="684"/>
      <c r="U52" s="684"/>
      <c r="V52" s="685"/>
    </row>
    <row r="53" spans="2:22" x14ac:dyDescent="0.25">
      <c r="B53" s="520" t="s">
        <v>219</v>
      </c>
      <c r="C53" s="523">
        <v>0.98219999999999996</v>
      </c>
      <c r="D53" s="524">
        <v>0.99360000000000004</v>
      </c>
      <c r="E53" s="524">
        <v>0.95040000000000002</v>
      </c>
      <c r="F53" s="525">
        <v>0.89529999999999998</v>
      </c>
      <c r="G53" s="523">
        <v>0.96150000000000002</v>
      </c>
      <c r="H53" s="524">
        <v>0.97460000000000002</v>
      </c>
      <c r="I53" s="524">
        <v>0.98819999999999997</v>
      </c>
      <c r="J53" s="525">
        <v>0.93530000000000002</v>
      </c>
      <c r="K53" s="523">
        <v>0.97240000000000004</v>
      </c>
      <c r="L53" s="524">
        <v>0.98560000000000003</v>
      </c>
      <c r="M53" s="524">
        <v>0.97209999999999996</v>
      </c>
      <c r="N53" s="525">
        <v>0.91639999999999999</v>
      </c>
      <c r="O53" s="523">
        <v>0.80979999999999996</v>
      </c>
      <c r="P53" s="689" t="s">
        <v>265</v>
      </c>
      <c r="Q53" s="689" t="s">
        <v>265</v>
      </c>
      <c r="R53" s="690">
        <v>0</v>
      </c>
      <c r="S53" s="523"/>
      <c r="T53" s="689"/>
      <c r="U53" s="689"/>
      <c r="V53" s="690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4ECBB-77FB-4AA8-9A2D-582C689465F7}">
  <sheetPr>
    <tabColor theme="7" tint="0.59999389629810485"/>
  </sheetPr>
  <dimension ref="A1:P318"/>
  <sheetViews>
    <sheetView showRuler="0" workbookViewId="0">
      <selection activeCell="H25" sqref="H25"/>
    </sheetView>
  </sheetViews>
  <sheetFormatPr defaultColWidth="13.7109375" defaultRowHeight="12.75" x14ac:dyDescent="0.2"/>
  <cols>
    <col min="1" max="1" width="27.5703125" style="824" customWidth="1"/>
    <col min="2" max="2" width="25.5703125" style="824" customWidth="1"/>
    <col min="3" max="3" width="7.7109375" style="824" customWidth="1"/>
    <col min="4" max="4" width="11" style="824" customWidth="1"/>
    <col min="5" max="16" width="13.7109375" style="716"/>
    <col min="17" max="16384" width="13.7109375" style="824"/>
  </cols>
  <sheetData>
    <row r="1" spans="1:4" ht="15" customHeight="1" x14ac:dyDescent="0.25">
      <c r="A1" s="928" t="s">
        <v>278</v>
      </c>
      <c r="B1" s="928"/>
      <c r="C1" s="928"/>
      <c r="D1" s="928"/>
    </row>
    <row r="2" spans="1:4" ht="20.100000000000001" customHeight="1" x14ac:dyDescent="0.25">
      <c r="A2" s="980" t="s">
        <v>331</v>
      </c>
      <c r="B2" s="980"/>
      <c r="C2" s="980"/>
      <c r="D2" s="980"/>
    </row>
    <row r="3" spans="1:4" ht="17.45" customHeight="1" x14ac:dyDescent="0.2">
      <c r="A3" s="734" t="s">
        <v>290</v>
      </c>
      <c r="B3" s="918"/>
      <c r="C3" s="918"/>
      <c r="D3" s="919"/>
    </row>
    <row r="4" spans="1:4" ht="15" customHeight="1" x14ac:dyDescent="0.2">
      <c r="A4" s="735" t="s">
        <v>226</v>
      </c>
      <c r="B4" s="735" t="s">
        <v>292</v>
      </c>
      <c r="C4" s="736" t="s">
        <v>293</v>
      </c>
      <c r="D4" s="770">
        <v>2196</v>
      </c>
    </row>
    <row r="5" spans="1:4" ht="15" customHeight="1" x14ac:dyDescent="0.2">
      <c r="A5" s="744"/>
      <c r="B5" s="744"/>
      <c r="C5" s="745" t="s">
        <v>294</v>
      </c>
      <c r="D5" s="747">
        <v>1800</v>
      </c>
    </row>
    <row r="6" spans="1:4" ht="15" customHeight="1" x14ac:dyDescent="0.2">
      <c r="A6" s="735" t="s">
        <v>258</v>
      </c>
      <c r="B6" s="735" t="s">
        <v>297</v>
      </c>
      <c r="C6" s="736" t="s">
        <v>293</v>
      </c>
      <c r="D6" s="754">
        <v>2.75</v>
      </c>
    </row>
    <row r="7" spans="1:4" ht="15" customHeight="1" x14ac:dyDescent="0.2">
      <c r="A7" s="744"/>
      <c r="B7" s="744"/>
      <c r="C7" s="745" t="s">
        <v>294</v>
      </c>
      <c r="D7" s="761">
        <v>2.81</v>
      </c>
    </row>
    <row r="8" spans="1:4" ht="15" customHeight="1" x14ac:dyDescent="0.2">
      <c r="A8" s="735" t="s">
        <v>235</v>
      </c>
      <c r="B8" s="735" t="s">
        <v>297</v>
      </c>
      <c r="C8" s="736" t="s">
        <v>293</v>
      </c>
      <c r="D8" s="754">
        <v>49.37</v>
      </c>
    </row>
    <row r="9" spans="1:4" ht="15.75" customHeight="1" x14ac:dyDescent="0.2">
      <c r="A9" s="744"/>
      <c r="B9" s="744"/>
      <c r="C9" s="745" t="s">
        <v>294</v>
      </c>
      <c r="D9" s="761">
        <v>47.98</v>
      </c>
    </row>
    <row r="10" spans="1:4" ht="15" customHeight="1" x14ac:dyDescent="0.2">
      <c r="A10" s="735" t="s">
        <v>332</v>
      </c>
      <c r="B10" s="735" t="s">
        <v>292</v>
      </c>
      <c r="C10" s="736" t="s">
        <v>293</v>
      </c>
      <c r="D10" s="770">
        <v>66</v>
      </c>
    </row>
    <row r="11" spans="1:4" ht="15.75" customHeight="1" x14ac:dyDescent="0.2">
      <c r="A11" s="744"/>
      <c r="B11" s="744"/>
      <c r="C11" s="745" t="s">
        <v>294</v>
      </c>
      <c r="D11" s="747">
        <v>53</v>
      </c>
    </row>
    <row r="12" spans="1:4" ht="15.75" customHeight="1" x14ac:dyDescent="0.2">
      <c r="A12" s="735" t="s">
        <v>228</v>
      </c>
      <c r="B12" s="735" t="s">
        <v>297</v>
      </c>
      <c r="C12" s="736" t="s">
        <v>293</v>
      </c>
      <c r="D12" s="754">
        <v>45</v>
      </c>
    </row>
    <row r="13" spans="1:4" ht="15.75" customHeight="1" x14ac:dyDescent="0.2">
      <c r="A13" s="744"/>
      <c r="B13" s="744"/>
      <c r="C13" s="745" t="s">
        <v>294</v>
      </c>
      <c r="D13" s="761">
        <v>45.73</v>
      </c>
    </row>
    <row r="14" spans="1:4" ht="15.75" customHeight="1" x14ac:dyDescent="0.2">
      <c r="A14" s="735" t="s">
        <v>259</v>
      </c>
      <c r="B14" s="735" t="s">
        <v>333</v>
      </c>
      <c r="C14" s="736" t="s">
        <v>293</v>
      </c>
      <c r="D14" s="770">
        <v>30</v>
      </c>
    </row>
    <row r="15" spans="1:4" ht="15" customHeight="1" x14ac:dyDescent="0.2">
      <c r="A15" s="744"/>
      <c r="B15" s="744"/>
      <c r="C15" s="745" t="s">
        <v>294</v>
      </c>
      <c r="D15" s="747">
        <v>24</v>
      </c>
    </row>
    <row r="16" spans="1:4" ht="15" customHeight="1" x14ac:dyDescent="0.2">
      <c r="A16" s="735" t="s">
        <v>260</v>
      </c>
      <c r="B16" s="735" t="s">
        <v>333</v>
      </c>
      <c r="C16" s="736" t="s">
        <v>293</v>
      </c>
      <c r="D16" s="770">
        <v>25</v>
      </c>
    </row>
    <row r="17" spans="1:4" ht="15.75" customHeight="1" x14ac:dyDescent="0.2">
      <c r="A17" s="744"/>
      <c r="B17" s="744"/>
      <c r="C17" s="745" t="s">
        <v>294</v>
      </c>
      <c r="D17" s="747">
        <v>20</v>
      </c>
    </row>
    <row r="18" spans="1:4" ht="15" customHeight="1" x14ac:dyDescent="0.2">
      <c r="A18" s="735" t="s">
        <v>334</v>
      </c>
      <c r="B18" s="735" t="s">
        <v>292</v>
      </c>
      <c r="C18" s="736" t="s">
        <v>293</v>
      </c>
      <c r="D18" s="770">
        <v>18</v>
      </c>
    </row>
    <row r="19" spans="1:4" ht="15" customHeight="1" x14ac:dyDescent="0.2">
      <c r="A19" s="779"/>
      <c r="B19" s="779"/>
      <c r="C19" s="780" t="s">
        <v>294</v>
      </c>
      <c r="D19" s="782">
        <v>23</v>
      </c>
    </row>
    <row r="20" spans="1:4" ht="15" customHeight="1" x14ac:dyDescent="0.2">
      <c r="A20" s="823" t="s">
        <v>325</v>
      </c>
      <c r="B20" s="920"/>
      <c r="C20" s="921"/>
      <c r="D20" s="922"/>
    </row>
    <row r="21" spans="1:4" ht="15" customHeight="1" x14ac:dyDescent="0.2">
      <c r="A21" s="735" t="s">
        <v>335</v>
      </c>
      <c r="B21" s="735" t="s">
        <v>336</v>
      </c>
      <c r="C21" s="736" t="s">
        <v>293</v>
      </c>
      <c r="D21" s="770">
        <v>68842</v>
      </c>
    </row>
    <row r="22" spans="1:4" ht="15.75" customHeight="1" x14ac:dyDescent="0.2">
      <c r="A22" s="779"/>
      <c r="B22" s="779"/>
      <c r="C22" s="780" t="s">
        <v>294</v>
      </c>
      <c r="D22" s="782">
        <v>42942</v>
      </c>
    </row>
    <row r="23" spans="1:4" ht="15" customHeight="1" x14ac:dyDescent="0.2">
      <c r="A23" s="779"/>
      <c r="B23" s="779" t="s">
        <v>337</v>
      </c>
      <c r="C23" s="789" t="s">
        <v>293</v>
      </c>
      <c r="D23" s="791">
        <v>4177</v>
      </c>
    </row>
    <row r="24" spans="1:4" ht="15" customHeight="1" x14ac:dyDescent="0.2">
      <c r="A24" s="744"/>
      <c r="B24" s="744"/>
      <c r="C24" s="745" t="s">
        <v>294</v>
      </c>
      <c r="D24" s="747">
        <v>2628</v>
      </c>
    </row>
    <row r="25" spans="1:4" ht="15" customHeight="1" x14ac:dyDescent="0.2">
      <c r="A25" s="812" t="s">
        <v>309</v>
      </c>
      <c r="B25" s="735" t="s">
        <v>336</v>
      </c>
      <c r="C25" s="736" t="s">
        <v>293</v>
      </c>
      <c r="D25" s="814">
        <v>35323</v>
      </c>
    </row>
    <row r="26" spans="1:4" ht="15" customHeight="1" x14ac:dyDescent="0.2">
      <c r="A26" s="816"/>
      <c r="B26" s="779"/>
      <c r="C26" s="780" t="s">
        <v>294</v>
      </c>
      <c r="D26" s="809">
        <v>35766</v>
      </c>
    </row>
    <row r="27" spans="1:4" ht="15" customHeight="1" x14ac:dyDescent="0.2">
      <c r="A27" s="788"/>
      <c r="B27" s="779" t="s">
        <v>337</v>
      </c>
      <c r="C27" s="789" t="s">
        <v>293</v>
      </c>
      <c r="D27" s="791">
        <v>2143</v>
      </c>
    </row>
    <row r="28" spans="1:4" ht="15" customHeight="1" x14ac:dyDescent="0.2">
      <c r="A28" s="744"/>
      <c r="B28" s="744"/>
      <c r="C28" s="745" t="s">
        <v>294</v>
      </c>
      <c r="D28" s="747">
        <v>2189</v>
      </c>
    </row>
    <row r="29" spans="1:4" ht="15" customHeight="1" x14ac:dyDescent="0.2">
      <c r="A29" s="812" t="s">
        <v>311</v>
      </c>
      <c r="B29" s="735" t="s">
        <v>336</v>
      </c>
      <c r="C29" s="736" t="s">
        <v>293</v>
      </c>
      <c r="D29" s="814">
        <v>35730</v>
      </c>
    </row>
    <row r="30" spans="1:4" ht="15" customHeight="1" x14ac:dyDescent="0.2">
      <c r="A30" s="816"/>
      <c r="B30" s="779"/>
      <c r="C30" s="780" t="s">
        <v>294</v>
      </c>
      <c r="D30" s="809">
        <v>36315</v>
      </c>
    </row>
    <row r="31" spans="1:4" ht="15" customHeight="1" x14ac:dyDescent="0.2">
      <c r="A31" s="820"/>
      <c r="B31" s="779" t="s">
        <v>337</v>
      </c>
      <c r="C31" s="789" t="s">
        <v>293</v>
      </c>
      <c r="D31" s="791">
        <v>2168</v>
      </c>
    </row>
    <row r="32" spans="1:4" ht="15" customHeight="1" x14ac:dyDescent="0.2">
      <c r="A32" s="816"/>
      <c r="B32" s="779"/>
      <c r="C32" s="780" t="s">
        <v>294</v>
      </c>
      <c r="D32" s="782">
        <v>2222</v>
      </c>
    </row>
    <row r="33" spans="1:4" ht="16.7" customHeight="1" x14ac:dyDescent="0.2">
      <c r="A33" s="823" t="s">
        <v>313</v>
      </c>
      <c r="B33" s="920"/>
      <c r="C33" s="921"/>
      <c r="D33" s="922"/>
    </row>
    <row r="34" spans="1:4" ht="15" customHeight="1" x14ac:dyDescent="0.2">
      <c r="A34" s="812" t="s">
        <v>315</v>
      </c>
      <c r="B34" s="735" t="s">
        <v>314</v>
      </c>
      <c r="C34" s="736" t="s">
        <v>293</v>
      </c>
      <c r="D34" s="814">
        <v>4</v>
      </c>
    </row>
    <row r="35" spans="1:4" ht="15" customHeight="1" x14ac:dyDescent="0.3">
      <c r="A35" s="923"/>
      <c r="B35" s="923"/>
      <c r="C35" s="780" t="s">
        <v>294</v>
      </c>
      <c r="D35" s="809">
        <v>2</v>
      </c>
    </row>
    <row r="36" spans="1:4" ht="15" customHeight="1" x14ac:dyDescent="0.2">
      <c r="A36" s="816" t="s">
        <v>338</v>
      </c>
      <c r="B36" s="779" t="s">
        <v>314</v>
      </c>
      <c r="C36" s="789" t="s">
        <v>293</v>
      </c>
      <c r="D36" s="791">
        <v>10</v>
      </c>
    </row>
    <row r="37" spans="1:4" ht="15" customHeight="1" x14ac:dyDescent="0.3">
      <c r="A37" s="923"/>
      <c r="B37" s="923"/>
      <c r="C37" s="780" t="s">
        <v>294</v>
      </c>
      <c r="D37" s="782">
        <v>11</v>
      </c>
    </row>
    <row r="38" spans="1:4" ht="15" customHeight="1" x14ac:dyDescent="0.2">
      <c r="A38" s="816" t="s">
        <v>94</v>
      </c>
      <c r="B38" s="779" t="s">
        <v>314</v>
      </c>
      <c r="C38" s="789" t="s">
        <v>293</v>
      </c>
      <c r="D38" s="791">
        <v>14</v>
      </c>
    </row>
    <row r="39" spans="1:4" ht="15" customHeight="1" x14ac:dyDescent="0.3">
      <c r="A39" s="923"/>
      <c r="B39" s="923"/>
      <c r="C39" s="780" t="s">
        <v>294</v>
      </c>
      <c r="D39" s="782">
        <v>13</v>
      </c>
    </row>
    <row r="40" spans="1:4" ht="15" customHeight="1" x14ac:dyDescent="0.2">
      <c r="A40" s="816"/>
      <c r="B40" s="779"/>
      <c r="C40" s="789" t="s">
        <v>293</v>
      </c>
      <c r="D40" s="791">
        <v>1</v>
      </c>
    </row>
    <row r="41" spans="1:4" ht="15" customHeight="1" x14ac:dyDescent="0.3">
      <c r="A41" s="718"/>
      <c r="B41" s="718"/>
      <c r="C41" s="745" t="s">
        <v>294</v>
      </c>
      <c r="D41" s="747">
        <v>1</v>
      </c>
    </row>
    <row r="42" spans="1:4" s="716" customFormat="1" x14ac:dyDescent="0.2"/>
    <row r="43" spans="1:4" s="716" customFormat="1" x14ac:dyDescent="0.2"/>
    <row r="44" spans="1:4" s="716" customFormat="1" x14ac:dyDescent="0.2"/>
    <row r="45" spans="1:4" s="716" customFormat="1" x14ac:dyDescent="0.2"/>
    <row r="46" spans="1:4" s="716" customFormat="1" x14ac:dyDescent="0.2"/>
    <row r="47" spans="1:4" s="716" customFormat="1" x14ac:dyDescent="0.2"/>
    <row r="48" spans="1:4" s="716" customFormat="1" x14ac:dyDescent="0.2"/>
    <row r="49" s="716" customFormat="1" x14ac:dyDescent="0.2"/>
    <row r="50" s="716" customFormat="1" x14ac:dyDescent="0.2"/>
    <row r="51" s="716" customFormat="1" x14ac:dyDescent="0.2"/>
    <row r="52" s="716" customFormat="1" x14ac:dyDescent="0.2"/>
    <row r="53" s="716" customFormat="1" x14ac:dyDescent="0.2"/>
    <row r="54" s="716" customFormat="1" x14ac:dyDescent="0.2"/>
    <row r="55" s="716" customFormat="1" x14ac:dyDescent="0.2"/>
    <row r="56" s="716" customFormat="1" x14ac:dyDescent="0.2"/>
    <row r="57" s="716" customFormat="1" x14ac:dyDescent="0.2"/>
    <row r="58" s="716" customFormat="1" x14ac:dyDescent="0.2"/>
    <row r="59" s="716" customFormat="1" x14ac:dyDescent="0.2"/>
    <row r="60" s="716" customFormat="1" x14ac:dyDescent="0.2"/>
    <row r="61" s="716" customFormat="1" x14ac:dyDescent="0.2"/>
    <row r="62" s="716" customFormat="1" x14ac:dyDescent="0.2"/>
    <row r="63" s="716" customFormat="1" x14ac:dyDescent="0.2"/>
    <row r="64" s="716" customFormat="1" x14ac:dyDescent="0.2"/>
    <row r="65" s="716" customFormat="1" x14ac:dyDescent="0.2"/>
    <row r="66" s="716" customFormat="1" x14ac:dyDescent="0.2"/>
    <row r="67" s="716" customFormat="1" x14ac:dyDescent="0.2"/>
    <row r="68" s="716" customFormat="1" x14ac:dyDescent="0.2"/>
    <row r="69" s="716" customFormat="1" x14ac:dyDescent="0.2"/>
    <row r="70" s="716" customFormat="1" x14ac:dyDescent="0.2"/>
    <row r="71" s="716" customFormat="1" x14ac:dyDescent="0.2"/>
    <row r="72" s="716" customFormat="1" x14ac:dyDescent="0.2"/>
    <row r="73" s="716" customFormat="1" x14ac:dyDescent="0.2"/>
    <row r="74" s="716" customFormat="1" x14ac:dyDescent="0.2"/>
    <row r="75" s="716" customFormat="1" x14ac:dyDescent="0.2"/>
    <row r="76" s="716" customFormat="1" x14ac:dyDescent="0.2"/>
    <row r="77" s="716" customFormat="1" x14ac:dyDescent="0.2"/>
    <row r="78" s="716" customFormat="1" x14ac:dyDescent="0.2"/>
    <row r="79" s="716" customFormat="1" x14ac:dyDescent="0.2"/>
    <row r="80" s="716" customFormat="1" x14ac:dyDescent="0.2"/>
    <row r="81" s="716" customFormat="1" x14ac:dyDescent="0.2"/>
    <row r="82" s="716" customFormat="1" x14ac:dyDescent="0.2"/>
    <row r="83" s="716" customFormat="1" x14ac:dyDescent="0.2"/>
    <row r="84" s="716" customFormat="1" x14ac:dyDescent="0.2"/>
    <row r="85" s="716" customFormat="1" x14ac:dyDescent="0.2"/>
    <row r="86" s="716" customFormat="1" x14ac:dyDescent="0.2"/>
    <row r="87" s="716" customFormat="1" x14ac:dyDescent="0.2"/>
    <row r="88" s="716" customFormat="1" x14ac:dyDescent="0.2"/>
    <row r="89" s="716" customFormat="1" x14ac:dyDescent="0.2"/>
    <row r="90" s="716" customFormat="1" x14ac:dyDescent="0.2"/>
    <row r="91" s="716" customFormat="1" x14ac:dyDescent="0.2"/>
    <row r="92" s="716" customFormat="1" x14ac:dyDescent="0.2"/>
    <row r="93" s="716" customFormat="1" x14ac:dyDescent="0.2"/>
    <row r="94" s="716" customFormat="1" x14ac:dyDescent="0.2"/>
    <row r="95" s="716" customFormat="1" x14ac:dyDescent="0.2"/>
    <row r="96" s="716" customFormat="1" x14ac:dyDescent="0.2"/>
    <row r="97" s="716" customFormat="1" x14ac:dyDescent="0.2"/>
    <row r="98" s="716" customFormat="1" x14ac:dyDescent="0.2"/>
    <row r="99" s="716" customFormat="1" x14ac:dyDescent="0.2"/>
    <row r="100" s="716" customFormat="1" x14ac:dyDescent="0.2"/>
    <row r="101" s="716" customFormat="1" x14ac:dyDescent="0.2"/>
    <row r="102" s="716" customFormat="1" x14ac:dyDescent="0.2"/>
    <row r="103" s="716" customFormat="1" x14ac:dyDescent="0.2"/>
    <row r="104" s="716" customFormat="1" x14ac:dyDescent="0.2"/>
    <row r="105" s="716" customFormat="1" x14ac:dyDescent="0.2"/>
    <row r="106" s="716" customFormat="1" x14ac:dyDescent="0.2"/>
    <row r="107" s="716" customFormat="1" x14ac:dyDescent="0.2"/>
    <row r="108" s="716" customFormat="1" x14ac:dyDescent="0.2"/>
    <row r="109" s="716" customFormat="1" x14ac:dyDescent="0.2"/>
    <row r="110" s="716" customFormat="1" x14ac:dyDescent="0.2"/>
    <row r="111" s="716" customFormat="1" x14ac:dyDescent="0.2"/>
    <row r="112" s="716" customFormat="1" x14ac:dyDescent="0.2"/>
    <row r="113" s="716" customFormat="1" x14ac:dyDescent="0.2"/>
    <row r="114" s="716" customFormat="1" x14ac:dyDescent="0.2"/>
    <row r="115" s="716" customFormat="1" x14ac:dyDescent="0.2"/>
    <row r="116" s="716" customFormat="1" x14ac:dyDescent="0.2"/>
    <row r="117" s="716" customFormat="1" x14ac:dyDescent="0.2"/>
    <row r="118" s="716" customFormat="1" x14ac:dyDescent="0.2"/>
    <row r="119" s="716" customFormat="1" x14ac:dyDescent="0.2"/>
    <row r="120" s="716" customFormat="1" x14ac:dyDescent="0.2"/>
    <row r="121" s="716" customFormat="1" x14ac:dyDescent="0.2"/>
    <row r="122" s="716" customFormat="1" x14ac:dyDescent="0.2"/>
    <row r="123" s="716" customFormat="1" x14ac:dyDescent="0.2"/>
    <row r="124" s="716" customFormat="1" x14ac:dyDescent="0.2"/>
    <row r="125" s="716" customFormat="1" x14ac:dyDescent="0.2"/>
    <row r="126" s="716" customFormat="1" x14ac:dyDescent="0.2"/>
    <row r="127" s="716" customFormat="1" x14ac:dyDescent="0.2"/>
    <row r="128" s="716" customFormat="1" x14ac:dyDescent="0.2"/>
    <row r="129" s="716" customFormat="1" x14ac:dyDescent="0.2"/>
    <row r="130" s="716" customFormat="1" x14ac:dyDescent="0.2"/>
    <row r="131" s="716" customFormat="1" x14ac:dyDescent="0.2"/>
    <row r="132" s="716" customFormat="1" x14ac:dyDescent="0.2"/>
    <row r="133" s="716" customFormat="1" x14ac:dyDescent="0.2"/>
    <row r="134" s="716" customFormat="1" x14ac:dyDescent="0.2"/>
    <row r="135" s="716" customFormat="1" x14ac:dyDescent="0.2"/>
    <row r="136" s="716" customFormat="1" x14ac:dyDescent="0.2"/>
    <row r="137" s="716" customFormat="1" x14ac:dyDescent="0.2"/>
    <row r="138" s="716" customFormat="1" x14ac:dyDescent="0.2"/>
    <row r="139" s="716" customFormat="1" x14ac:dyDescent="0.2"/>
    <row r="140" s="716" customFormat="1" x14ac:dyDescent="0.2"/>
    <row r="141" s="716" customFormat="1" x14ac:dyDescent="0.2"/>
    <row r="142" s="716" customFormat="1" x14ac:dyDescent="0.2"/>
    <row r="143" s="716" customFormat="1" x14ac:dyDescent="0.2"/>
    <row r="144" s="716" customFormat="1" x14ac:dyDescent="0.2"/>
    <row r="145" s="716" customFormat="1" x14ac:dyDescent="0.2"/>
    <row r="146" s="716" customFormat="1" x14ac:dyDescent="0.2"/>
    <row r="147" s="716" customFormat="1" x14ac:dyDescent="0.2"/>
    <row r="148" s="716" customFormat="1" x14ac:dyDescent="0.2"/>
    <row r="149" s="716" customFormat="1" x14ac:dyDescent="0.2"/>
    <row r="150" s="716" customFormat="1" x14ac:dyDescent="0.2"/>
    <row r="151" s="716" customFormat="1" x14ac:dyDescent="0.2"/>
    <row r="152" s="716" customFormat="1" x14ac:dyDescent="0.2"/>
    <row r="153" s="716" customFormat="1" x14ac:dyDescent="0.2"/>
    <row r="154" s="716" customFormat="1" x14ac:dyDescent="0.2"/>
    <row r="155" s="716" customFormat="1" x14ac:dyDescent="0.2"/>
    <row r="156" s="716" customFormat="1" x14ac:dyDescent="0.2"/>
    <row r="157" s="716" customFormat="1" x14ac:dyDescent="0.2"/>
    <row r="158" s="716" customFormat="1" x14ac:dyDescent="0.2"/>
    <row r="159" s="716" customFormat="1" x14ac:dyDescent="0.2"/>
    <row r="160" s="716" customFormat="1" x14ac:dyDescent="0.2"/>
    <row r="161" s="716" customFormat="1" x14ac:dyDescent="0.2"/>
    <row r="162" s="716" customFormat="1" x14ac:dyDescent="0.2"/>
    <row r="163" s="716" customFormat="1" x14ac:dyDescent="0.2"/>
    <row r="164" s="716" customFormat="1" x14ac:dyDescent="0.2"/>
    <row r="165" s="716" customFormat="1" x14ac:dyDescent="0.2"/>
    <row r="166" s="716" customFormat="1" x14ac:dyDescent="0.2"/>
    <row r="167" s="716" customFormat="1" x14ac:dyDescent="0.2"/>
    <row r="168" s="716" customFormat="1" x14ac:dyDescent="0.2"/>
    <row r="169" s="716" customFormat="1" x14ac:dyDescent="0.2"/>
    <row r="170" s="716" customFormat="1" x14ac:dyDescent="0.2"/>
    <row r="171" s="716" customFormat="1" x14ac:dyDescent="0.2"/>
    <row r="172" s="716" customFormat="1" x14ac:dyDescent="0.2"/>
    <row r="173" s="716" customFormat="1" x14ac:dyDescent="0.2"/>
    <row r="174" s="716" customFormat="1" x14ac:dyDescent="0.2"/>
    <row r="175" s="716" customFormat="1" x14ac:dyDescent="0.2"/>
    <row r="176" s="716" customFormat="1" x14ac:dyDescent="0.2"/>
    <row r="177" s="716" customFormat="1" x14ac:dyDescent="0.2"/>
    <row r="178" s="716" customFormat="1" x14ac:dyDescent="0.2"/>
    <row r="179" s="716" customFormat="1" x14ac:dyDescent="0.2"/>
    <row r="180" s="716" customFormat="1" x14ac:dyDescent="0.2"/>
    <row r="181" s="716" customFormat="1" x14ac:dyDescent="0.2"/>
    <row r="182" s="716" customFormat="1" x14ac:dyDescent="0.2"/>
    <row r="183" s="716" customFormat="1" x14ac:dyDescent="0.2"/>
    <row r="184" s="716" customFormat="1" x14ac:dyDescent="0.2"/>
    <row r="185" s="716" customFormat="1" x14ac:dyDescent="0.2"/>
    <row r="186" s="716" customFormat="1" x14ac:dyDescent="0.2"/>
    <row r="187" s="716" customFormat="1" x14ac:dyDescent="0.2"/>
    <row r="188" s="716" customFormat="1" x14ac:dyDescent="0.2"/>
    <row r="189" s="716" customFormat="1" x14ac:dyDescent="0.2"/>
    <row r="190" s="716" customFormat="1" x14ac:dyDescent="0.2"/>
    <row r="191" s="716" customFormat="1" x14ac:dyDescent="0.2"/>
    <row r="192" s="716" customFormat="1" x14ac:dyDescent="0.2"/>
    <row r="193" s="716" customFormat="1" x14ac:dyDescent="0.2"/>
    <row r="194" s="716" customFormat="1" x14ac:dyDescent="0.2"/>
    <row r="195" s="716" customFormat="1" x14ac:dyDescent="0.2"/>
    <row r="196" s="716" customFormat="1" x14ac:dyDescent="0.2"/>
    <row r="197" s="716" customFormat="1" x14ac:dyDescent="0.2"/>
    <row r="198" s="716" customFormat="1" x14ac:dyDescent="0.2"/>
    <row r="199" s="716" customFormat="1" x14ac:dyDescent="0.2"/>
    <row r="200" s="716" customFormat="1" x14ac:dyDescent="0.2"/>
    <row r="201" s="716" customFormat="1" x14ac:dyDescent="0.2"/>
    <row r="202" s="716" customFormat="1" x14ac:dyDescent="0.2"/>
    <row r="203" s="716" customFormat="1" x14ac:dyDescent="0.2"/>
    <row r="204" s="716" customFormat="1" x14ac:dyDescent="0.2"/>
    <row r="205" s="716" customFormat="1" x14ac:dyDescent="0.2"/>
    <row r="206" s="716" customFormat="1" x14ac:dyDescent="0.2"/>
    <row r="207" s="716" customFormat="1" x14ac:dyDescent="0.2"/>
    <row r="208" s="716" customFormat="1" x14ac:dyDescent="0.2"/>
    <row r="209" s="716" customFormat="1" x14ac:dyDescent="0.2"/>
    <row r="210" s="716" customFormat="1" x14ac:dyDescent="0.2"/>
    <row r="211" s="716" customFormat="1" x14ac:dyDescent="0.2"/>
    <row r="212" s="716" customFormat="1" x14ac:dyDescent="0.2"/>
    <row r="213" s="716" customFormat="1" x14ac:dyDescent="0.2"/>
    <row r="214" s="716" customFormat="1" x14ac:dyDescent="0.2"/>
    <row r="215" s="716" customFormat="1" x14ac:dyDescent="0.2"/>
    <row r="216" s="716" customFormat="1" x14ac:dyDescent="0.2"/>
    <row r="217" s="716" customFormat="1" x14ac:dyDescent="0.2"/>
    <row r="218" s="716" customFormat="1" x14ac:dyDescent="0.2"/>
    <row r="219" s="716" customFormat="1" x14ac:dyDescent="0.2"/>
    <row r="220" s="716" customFormat="1" x14ac:dyDescent="0.2"/>
    <row r="221" s="716" customFormat="1" x14ac:dyDescent="0.2"/>
    <row r="222" s="716" customFormat="1" x14ac:dyDescent="0.2"/>
    <row r="223" s="716" customFormat="1" x14ac:dyDescent="0.2"/>
    <row r="224" s="716" customFormat="1" x14ac:dyDescent="0.2"/>
    <row r="225" s="716" customFormat="1" x14ac:dyDescent="0.2"/>
    <row r="226" s="716" customFormat="1" x14ac:dyDescent="0.2"/>
    <row r="227" s="716" customFormat="1" x14ac:dyDescent="0.2"/>
    <row r="228" s="716" customFormat="1" x14ac:dyDescent="0.2"/>
    <row r="229" s="716" customFormat="1" x14ac:dyDescent="0.2"/>
    <row r="230" s="716" customFormat="1" x14ac:dyDescent="0.2"/>
    <row r="231" s="716" customFormat="1" x14ac:dyDescent="0.2"/>
    <row r="232" s="716" customFormat="1" x14ac:dyDescent="0.2"/>
    <row r="233" s="716" customFormat="1" x14ac:dyDescent="0.2"/>
    <row r="234" s="716" customFormat="1" x14ac:dyDescent="0.2"/>
    <row r="235" s="716" customFormat="1" x14ac:dyDescent="0.2"/>
    <row r="236" s="716" customFormat="1" x14ac:dyDescent="0.2"/>
    <row r="237" s="716" customFormat="1" x14ac:dyDescent="0.2"/>
    <row r="238" s="716" customFormat="1" x14ac:dyDescent="0.2"/>
    <row r="239" s="716" customFormat="1" x14ac:dyDescent="0.2"/>
    <row r="240" s="716" customFormat="1" x14ac:dyDescent="0.2"/>
    <row r="241" s="716" customFormat="1" x14ac:dyDescent="0.2"/>
    <row r="242" s="716" customFormat="1" x14ac:dyDescent="0.2"/>
    <row r="243" s="716" customFormat="1" x14ac:dyDescent="0.2"/>
    <row r="244" s="716" customFormat="1" x14ac:dyDescent="0.2"/>
    <row r="245" s="716" customFormat="1" x14ac:dyDescent="0.2"/>
    <row r="246" s="716" customFormat="1" x14ac:dyDescent="0.2"/>
    <row r="247" s="716" customFormat="1" x14ac:dyDescent="0.2"/>
    <row r="248" s="716" customFormat="1" x14ac:dyDescent="0.2"/>
    <row r="249" s="716" customFormat="1" x14ac:dyDescent="0.2"/>
    <row r="250" s="716" customFormat="1" x14ac:dyDescent="0.2"/>
    <row r="251" s="716" customFormat="1" x14ac:dyDescent="0.2"/>
    <row r="252" s="716" customFormat="1" x14ac:dyDescent="0.2"/>
    <row r="253" s="716" customFormat="1" x14ac:dyDescent="0.2"/>
    <row r="254" s="716" customFormat="1" x14ac:dyDescent="0.2"/>
    <row r="255" s="716" customFormat="1" x14ac:dyDescent="0.2"/>
    <row r="256" s="716" customFormat="1" x14ac:dyDescent="0.2"/>
    <row r="257" s="716" customFormat="1" x14ac:dyDescent="0.2"/>
    <row r="258" s="716" customFormat="1" x14ac:dyDescent="0.2"/>
    <row r="259" s="716" customFormat="1" x14ac:dyDescent="0.2"/>
    <row r="260" s="716" customFormat="1" x14ac:dyDescent="0.2"/>
    <row r="261" s="716" customFormat="1" x14ac:dyDescent="0.2"/>
    <row r="262" s="716" customFormat="1" x14ac:dyDescent="0.2"/>
    <row r="263" s="716" customFormat="1" x14ac:dyDescent="0.2"/>
    <row r="264" s="716" customFormat="1" x14ac:dyDescent="0.2"/>
    <row r="265" s="716" customFormat="1" x14ac:dyDescent="0.2"/>
    <row r="266" s="716" customFormat="1" x14ac:dyDescent="0.2"/>
    <row r="267" s="716" customFormat="1" x14ac:dyDescent="0.2"/>
    <row r="268" s="716" customFormat="1" x14ac:dyDescent="0.2"/>
    <row r="269" s="716" customFormat="1" x14ac:dyDescent="0.2"/>
    <row r="270" s="716" customFormat="1" x14ac:dyDescent="0.2"/>
    <row r="271" s="716" customFormat="1" x14ac:dyDescent="0.2"/>
    <row r="272" s="716" customFormat="1" x14ac:dyDescent="0.2"/>
    <row r="273" s="716" customFormat="1" x14ac:dyDescent="0.2"/>
    <row r="274" s="716" customFormat="1" x14ac:dyDescent="0.2"/>
    <row r="275" s="716" customFormat="1" x14ac:dyDescent="0.2"/>
    <row r="276" s="716" customFormat="1" x14ac:dyDescent="0.2"/>
    <row r="277" s="716" customFormat="1" x14ac:dyDescent="0.2"/>
    <row r="278" s="716" customFormat="1" x14ac:dyDescent="0.2"/>
    <row r="279" s="716" customFormat="1" x14ac:dyDescent="0.2"/>
    <row r="280" s="716" customFormat="1" x14ac:dyDescent="0.2"/>
    <row r="281" s="716" customFormat="1" x14ac:dyDescent="0.2"/>
    <row r="282" s="716" customFormat="1" x14ac:dyDescent="0.2"/>
    <row r="283" s="716" customFormat="1" x14ac:dyDescent="0.2"/>
    <row r="284" s="716" customFormat="1" x14ac:dyDescent="0.2"/>
    <row r="285" s="716" customFormat="1" x14ac:dyDescent="0.2"/>
    <row r="286" s="716" customFormat="1" x14ac:dyDescent="0.2"/>
    <row r="287" s="716" customFormat="1" x14ac:dyDescent="0.2"/>
    <row r="288" s="716" customFormat="1" x14ac:dyDescent="0.2"/>
    <row r="289" s="716" customFormat="1" x14ac:dyDescent="0.2"/>
    <row r="290" s="716" customFormat="1" x14ac:dyDescent="0.2"/>
    <row r="291" s="716" customFormat="1" x14ac:dyDescent="0.2"/>
    <row r="292" s="716" customFormat="1" x14ac:dyDescent="0.2"/>
    <row r="293" s="716" customFormat="1" x14ac:dyDescent="0.2"/>
    <row r="294" s="716" customFormat="1" x14ac:dyDescent="0.2"/>
    <row r="295" s="716" customFormat="1" x14ac:dyDescent="0.2"/>
    <row r="296" s="716" customFormat="1" x14ac:dyDescent="0.2"/>
    <row r="297" s="716" customFormat="1" x14ac:dyDescent="0.2"/>
    <row r="298" s="716" customFormat="1" x14ac:dyDescent="0.2"/>
    <row r="299" s="716" customFormat="1" x14ac:dyDescent="0.2"/>
    <row r="300" s="716" customFormat="1" x14ac:dyDescent="0.2"/>
    <row r="301" s="716" customFormat="1" x14ac:dyDescent="0.2"/>
    <row r="302" s="716" customFormat="1" x14ac:dyDescent="0.2"/>
    <row r="303" s="716" customFormat="1" x14ac:dyDescent="0.2"/>
    <row r="304" s="716" customFormat="1" x14ac:dyDescent="0.2"/>
    <row r="305" s="716" customFormat="1" x14ac:dyDescent="0.2"/>
    <row r="306" s="716" customFormat="1" x14ac:dyDescent="0.2"/>
    <row r="307" s="716" customFormat="1" x14ac:dyDescent="0.2"/>
    <row r="308" s="716" customFormat="1" x14ac:dyDescent="0.2"/>
    <row r="309" s="716" customFormat="1" x14ac:dyDescent="0.2"/>
    <row r="310" s="716" customFormat="1" x14ac:dyDescent="0.2"/>
    <row r="311" s="716" customFormat="1" x14ac:dyDescent="0.2"/>
    <row r="312" s="716" customFormat="1" x14ac:dyDescent="0.2"/>
    <row r="313" s="716" customFormat="1" x14ac:dyDescent="0.2"/>
    <row r="314" s="716" customFormat="1" x14ac:dyDescent="0.2"/>
    <row r="315" s="716" customFormat="1" x14ac:dyDescent="0.2"/>
    <row r="316" s="716" customFormat="1" x14ac:dyDescent="0.2"/>
    <row r="317" s="716" customFormat="1" x14ac:dyDescent="0.2"/>
    <row r="318" s="716" customFormat="1" x14ac:dyDescent="0.2"/>
  </sheetData>
  <mergeCells count="2">
    <mergeCell ref="A1:D1"/>
    <mergeCell ref="A2:D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FD7E-40D3-4CB9-BDB1-889F9CB8F3AF}">
  <dimension ref="B1:R43"/>
  <sheetViews>
    <sheetView zoomScaleNormal="100" workbookViewId="0">
      <selection activeCell="P31" sqref="P31"/>
    </sheetView>
  </sheetViews>
  <sheetFormatPr defaultRowHeight="15" x14ac:dyDescent="0.25"/>
  <cols>
    <col min="1" max="1" width="2.28515625" style="208" customWidth="1"/>
    <col min="2" max="2" width="52.85546875" style="208" bestFit="1" customWidth="1"/>
    <col min="3" max="4" width="13.7109375" style="208" hidden="1" customWidth="1"/>
    <col min="5" max="5" width="13.5703125" style="208" hidden="1" customWidth="1"/>
    <col min="6" max="6" width="13.7109375" style="208" hidden="1" customWidth="1"/>
    <col min="7" max="8" width="13.7109375" style="208" customWidth="1"/>
    <col min="9" max="9" width="13.5703125" style="208" customWidth="1"/>
    <col min="10" max="12" width="13.7109375" style="208" customWidth="1"/>
    <col min="13" max="13" width="13.5703125" style="208" customWidth="1"/>
    <col min="14" max="16" width="13.7109375" style="208" customWidth="1"/>
    <col min="17" max="17" width="13.5703125" style="208" hidden="1" customWidth="1"/>
    <col min="18" max="18" width="13.7109375" style="208" hidden="1" customWidth="1"/>
    <col min="19" max="16384" width="9.140625" style="208"/>
  </cols>
  <sheetData>
    <row r="1" spans="2:18" x14ac:dyDescent="0.25">
      <c r="B1" s="506"/>
      <c r="C1" s="539">
        <v>44986</v>
      </c>
      <c r="D1" s="540">
        <v>45078</v>
      </c>
      <c r="E1" s="540">
        <v>45170</v>
      </c>
      <c r="F1" s="541">
        <v>45261</v>
      </c>
      <c r="G1" s="539">
        <v>45352</v>
      </c>
      <c r="H1" s="540">
        <v>45444</v>
      </c>
      <c r="I1" s="540">
        <v>45536</v>
      </c>
      <c r="J1" s="541">
        <v>45627</v>
      </c>
      <c r="K1" s="539">
        <v>45717</v>
      </c>
      <c r="L1" s="540">
        <v>45809</v>
      </c>
      <c r="M1" s="540">
        <v>45901</v>
      </c>
      <c r="N1" s="541">
        <v>45992</v>
      </c>
      <c r="O1" s="539">
        <v>46082</v>
      </c>
      <c r="P1" s="540">
        <v>46174</v>
      </c>
      <c r="Q1" s="540">
        <v>46266</v>
      </c>
      <c r="R1" s="541">
        <v>46357</v>
      </c>
    </row>
    <row r="2" spans="2:18" ht="15" customHeight="1" x14ac:dyDescent="0.25">
      <c r="B2" s="981" t="s">
        <v>238</v>
      </c>
      <c r="C2" s="981"/>
      <c r="D2" s="981"/>
      <c r="E2" s="981"/>
      <c r="F2" s="538"/>
      <c r="J2" s="400"/>
      <c r="N2" s="400"/>
      <c r="R2" s="400"/>
    </row>
    <row r="3" spans="2:18" ht="15" customHeight="1" x14ac:dyDescent="0.25">
      <c r="B3" s="510" t="s">
        <v>224</v>
      </c>
      <c r="C3" s="336"/>
      <c r="D3" s="336"/>
      <c r="E3" s="336"/>
      <c r="F3" s="400"/>
      <c r="G3" s="336"/>
      <c r="H3" s="336"/>
      <c r="I3" s="336"/>
      <c r="J3" s="400"/>
      <c r="K3" s="336"/>
      <c r="L3" s="336"/>
      <c r="M3" s="336"/>
      <c r="N3" s="400"/>
      <c r="O3" s="336"/>
      <c r="P3" s="336"/>
      <c r="Q3" s="336"/>
      <c r="R3" s="400"/>
    </row>
    <row r="4" spans="2:18" x14ac:dyDescent="0.25">
      <c r="B4" s="296" t="s">
        <v>225</v>
      </c>
      <c r="C4" s="348"/>
      <c r="F4" s="227"/>
      <c r="G4" s="348"/>
      <c r="J4" s="227"/>
      <c r="K4" s="348"/>
      <c r="N4" s="227"/>
      <c r="O4" s="348"/>
      <c r="R4" s="227"/>
    </row>
    <row r="5" spans="2:18" x14ac:dyDescent="0.25">
      <c r="B5" s="542" t="s">
        <v>226</v>
      </c>
      <c r="C5" s="513">
        <v>112</v>
      </c>
      <c r="D5" s="514">
        <v>1949</v>
      </c>
      <c r="E5" s="514">
        <v>1973</v>
      </c>
      <c r="F5" s="521">
        <v>2063</v>
      </c>
      <c r="G5" s="513">
        <v>1373</v>
      </c>
      <c r="H5" s="514">
        <v>2123</v>
      </c>
      <c r="I5" s="514">
        <v>2207</v>
      </c>
      <c r="J5" s="521">
        <v>1104</v>
      </c>
      <c r="K5" s="513">
        <v>1973</v>
      </c>
      <c r="L5" s="514">
        <v>2114</v>
      </c>
      <c r="M5" s="514">
        <v>2063</v>
      </c>
      <c r="N5" s="521">
        <v>2061</v>
      </c>
      <c r="O5" s="513">
        <v>1800</v>
      </c>
      <c r="P5" s="514">
        <v>2196</v>
      </c>
      <c r="Q5" s="514"/>
      <c r="R5" s="521"/>
    </row>
    <row r="6" spans="2:18" x14ac:dyDescent="0.25">
      <c r="B6" s="511"/>
      <c r="C6" s="513"/>
      <c r="D6" s="514"/>
      <c r="E6" s="514"/>
      <c r="F6" s="521"/>
      <c r="G6" s="513"/>
      <c r="H6" s="514"/>
      <c r="I6" s="514"/>
      <c r="J6" s="521"/>
      <c r="K6" s="513"/>
      <c r="L6" s="514"/>
      <c r="M6" s="514"/>
      <c r="N6" s="521"/>
      <c r="O6" s="513"/>
      <c r="P6" s="514"/>
      <c r="Q6" s="514"/>
      <c r="R6" s="521"/>
    </row>
    <row r="7" spans="2:18" x14ac:dyDescent="0.25">
      <c r="B7" s="543" t="s">
        <v>227</v>
      </c>
      <c r="C7" s="535"/>
      <c r="D7" s="536"/>
      <c r="E7" s="536"/>
      <c r="F7" s="552"/>
      <c r="G7" s="535"/>
      <c r="H7" s="536"/>
      <c r="I7" s="536"/>
      <c r="J7" s="552"/>
      <c r="K7" s="535"/>
      <c r="L7" s="536"/>
      <c r="M7" s="536"/>
      <c r="N7" s="552"/>
      <c r="O7" s="535"/>
      <c r="P7" s="536"/>
      <c r="Q7" s="536"/>
      <c r="R7" s="552"/>
    </row>
    <row r="8" spans="2:18" x14ac:dyDescent="0.25">
      <c r="B8" s="542" t="s">
        <v>258</v>
      </c>
      <c r="C8" s="551">
        <v>2.97</v>
      </c>
      <c r="D8" s="544">
        <v>3.13</v>
      </c>
      <c r="E8" s="544">
        <v>3.16</v>
      </c>
      <c r="F8" s="553">
        <v>3.07</v>
      </c>
      <c r="G8" s="551">
        <v>2.97</v>
      </c>
      <c r="H8" s="544">
        <v>2.92</v>
      </c>
      <c r="I8" s="544">
        <v>3.01</v>
      </c>
      <c r="J8" s="553">
        <v>2.97</v>
      </c>
      <c r="K8" s="551">
        <v>3.01</v>
      </c>
      <c r="L8" s="544">
        <v>2.91</v>
      </c>
      <c r="M8" s="544">
        <v>2.87</v>
      </c>
      <c r="N8" s="553">
        <v>2.85</v>
      </c>
      <c r="O8" s="551">
        <v>2.81</v>
      </c>
      <c r="P8" s="544">
        <v>2.75</v>
      </c>
      <c r="Q8" s="544"/>
      <c r="R8" s="553"/>
    </row>
    <row r="9" spans="2:18" x14ac:dyDescent="0.25">
      <c r="B9" s="511" t="s">
        <v>228</v>
      </c>
      <c r="C9" s="551">
        <v>44.78</v>
      </c>
      <c r="D9" s="544">
        <v>45.02</v>
      </c>
      <c r="E9" s="544">
        <v>45.31</v>
      </c>
      <c r="F9" s="553">
        <v>45.16</v>
      </c>
      <c r="G9" s="551">
        <v>47.01</v>
      </c>
      <c r="H9" s="544">
        <v>45.92</v>
      </c>
      <c r="I9" s="544">
        <v>44.69</v>
      </c>
      <c r="J9" s="553">
        <v>46.34</v>
      </c>
      <c r="K9" s="551">
        <v>46.72</v>
      </c>
      <c r="L9" s="544">
        <v>47</v>
      </c>
      <c r="M9" s="544">
        <v>46.11</v>
      </c>
      <c r="N9" s="553">
        <v>45.84</v>
      </c>
      <c r="O9" s="551">
        <v>45.73</v>
      </c>
      <c r="P9" s="544">
        <v>45</v>
      </c>
      <c r="Q9" s="544"/>
      <c r="R9" s="553"/>
    </row>
    <row r="10" spans="2:18" x14ac:dyDescent="0.25">
      <c r="B10" s="511"/>
      <c r="C10" s="551"/>
      <c r="D10" s="544"/>
      <c r="E10" s="514"/>
      <c r="F10" s="521"/>
      <c r="G10" s="551"/>
      <c r="H10" s="544"/>
      <c r="I10" s="514"/>
      <c r="J10" s="521"/>
      <c r="K10" s="551"/>
      <c r="L10" s="544"/>
      <c r="M10" s="514"/>
      <c r="N10" s="521"/>
      <c r="O10" s="551"/>
      <c r="P10" s="544"/>
      <c r="Q10" s="514"/>
      <c r="R10" s="521"/>
    </row>
    <row r="11" spans="2:18" x14ac:dyDescent="0.25">
      <c r="B11" s="543" t="s">
        <v>230</v>
      </c>
      <c r="C11" s="551"/>
      <c r="D11" s="544"/>
      <c r="E11" s="514"/>
      <c r="F11" s="521"/>
      <c r="G11" s="551"/>
      <c r="H11" s="544"/>
      <c r="I11" s="514"/>
      <c r="J11" s="521"/>
      <c r="K11" s="551"/>
      <c r="L11" s="544"/>
      <c r="M11" s="514"/>
      <c r="N11" s="521"/>
      <c r="O11" s="551"/>
      <c r="P11" s="544"/>
      <c r="Q11" s="514"/>
      <c r="R11" s="521"/>
    </row>
    <row r="12" spans="2:18" x14ac:dyDescent="0.25">
      <c r="B12" s="511" t="s">
        <v>235</v>
      </c>
      <c r="C12" s="551">
        <v>45.95</v>
      </c>
      <c r="D12" s="544">
        <v>45.86</v>
      </c>
      <c r="E12" s="544">
        <v>48.91</v>
      </c>
      <c r="F12" s="553">
        <v>50.56</v>
      </c>
      <c r="G12" s="551">
        <v>48.57</v>
      </c>
      <c r="H12" s="544">
        <v>50.32</v>
      </c>
      <c r="I12" s="544">
        <v>50.07</v>
      </c>
      <c r="J12" s="553">
        <v>47.33</v>
      </c>
      <c r="K12" s="551">
        <v>50.53</v>
      </c>
      <c r="L12" s="544">
        <v>51.77</v>
      </c>
      <c r="M12" s="544">
        <v>49.97</v>
      </c>
      <c r="N12" s="553">
        <v>51.34</v>
      </c>
      <c r="O12" s="551">
        <v>47.98</v>
      </c>
      <c r="P12" s="544">
        <v>49.37</v>
      </c>
      <c r="Q12" s="544"/>
      <c r="R12" s="553"/>
    </row>
    <row r="13" spans="2:18" x14ac:dyDescent="0.25">
      <c r="B13" s="511"/>
      <c r="C13" s="513"/>
      <c r="D13" s="514"/>
      <c r="E13" s="514"/>
      <c r="F13" s="521"/>
      <c r="G13" s="513"/>
      <c r="H13" s="514"/>
      <c r="I13" s="514"/>
      <c r="J13" s="521"/>
      <c r="K13" s="513"/>
      <c r="L13" s="514"/>
      <c r="M13" s="514"/>
      <c r="N13" s="521"/>
      <c r="O13" s="513"/>
      <c r="P13" s="514"/>
      <c r="Q13" s="514"/>
      <c r="R13" s="521"/>
    </row>
    <row r="14" spans="2:18" x14ac:dyDescent="0.25">
      <c r="B14" s="543" t="s">
        <v>229</v>
      </c>
      <c r="C14" s="438"/>
      <c r="D14" s="344"/>
      <c r="E14" s="344"/>
      <c r="F14" s="474"/>
      <c r="G14" s="438"/>
      <c r="H14" s="344"/>
      <c r="I14" s="344"/>
      <c r="J14" s="474"/>
      <c r="K14" s="438"/>
      <c r="L14" s="344"/>
      <c r="M14" s="344"/>
      <c r="N14" s="474"/>
      <c r="O14" s="438"/>
      <c r="P14" s="344"/>
      <c r="Q14" s="344"/>
      <c r="R14" s="474"/>
    </row>
    <row r="15" spans="2:18" x14ac:dyDescent="0.25">
      <c r="B15" s="208" t="s">
        <v>259</v>
      </c>
      <c r="C15" s="438">
        <v>2</v>
      </c>
      <c r="D15" s="344">
        <v>28</v>
      </c>
      <c r="E15" s="344">
        <v>30</v>
      </c>
      <c r="F15" s="474">
        <v>32</v>
      </c>
      <c r="G15" s="438">
        <v>20</v>
      </c>
      <c r="H15" s="344">
        <v>31</v>
      </c>
      <c r="I15" s="344">
        <v>33</v>
      </c>
      <c r="J15" s="474">
        <v>16</v>
      </c>
      <c r="K15" s="438">
        <v>30</v>
      </c>
      <c r="L15" s="344">
        <v>32</v>
      </c>
      <c r="M15" s="344">
        <v>30</v>
      </c>
      <c r="N15" s="474">
        <v>30</v>
      </c>
      <c r="O15" s="438">
        <v>24</v>
      </c>
      <c r="P15" s="344">
        <v>30</v>
      </c>
      <c r="Q15" s="344"/>
      <c r="R15" s="474"/>
    </row>
    <row r="16" spans="2:18" x14ac:dyDescent="0.25">
      <c r="B16" s="511" t="s">
        <v>260</v>
      </c>
      <c r="C16" s="513">
        <v>1</v>
      </c>
      <c r="D16" s="514">
        <v>23</v>
      </c>
      <c r="E16" s="514">
        <v>25</v>
      </c>
      <c r="F16" s="521">
        <v>26</v>
      </c>
      <c r="G16" s="513">
        <v>16</v>
      </c>
      <c r="H16" s="514">
        <v>26</v>
      </c>
      <c r="I16" s="514">
        <v>27</v>
      </c>
      <c r="J16" s="521">
        <v>13</v>
      </c>
      <c r="K16" s="513">
        <v>25</v>
      </c>
      <c r="L16" s="514">
        <v>26</v>
      </c>
      <c r="M16" s="514">
        <v>24</v>
      </c>
      <c r="N16" s="521">
        <v>25</v>
      </c>
      <c r="O16" s="513">
        <v>20</v>
      </c>
      <c r="P16" s="514">
        <v>25</v>
      </c>
      <c r="Q16" s="514"/>
      <c r="R16" s="521"/>
    </row>
    <row r="17" spans="2:18" x14ac:dyDescent="0.25">
      <c r="C17" s="513"/>
      <c r="G17" s="513"/>
      <c r="K17" s="513"/>
      <c r="N17" s="521"/>
      <c r="O17" s="513"/>
      <c r="R17" s="521"/>
    </row>
    <row r="18" spans="2:18" x14ac:dyDescent="0.25">
      <c r="C18" s="513"/>
      <c r="G18" s="513"/>
      <c r="K18" s="513"/>
      <c r="N18" s="521"/>
      <c r="O18" s="513"/>
      <c r="R18" s="521"/>
    </row>
    <row r="19" spans="2:18" x14ac:dyDescent="0.25">
      <c r="B19" s="296" t="s">
        <v>135</v>
      </c>
      <c r="C19" s="513"/>
      <c r="D19" s="344"/>
      <c r="E19" s="344"/>
      <c r="F19" s="474"/>
      <c r="G19" s="513"/>
      <c r="H19" s="344"/>
      <c r="I19" s="344"/>
      <c r="J19" s="474"/>
      <c r="K19" s="513"/>
      <c r="L19" s="344"/>
      <c r="M19" s="344"/>
      <c r="N19" s="474"/>
      <c r="O19" s="513"/>
      <c r="P19" s="344"/>
      <c r="Q19" s="344"/>
      <c r="R19" s="474"/>
    </row>
    <row r="20" spans="2:18" x14ac:dyDescent="0.25">
      <c r="B20" s="321" t="s">
        <v>66</v>
      </c>
      <c r="C20" s="438">
        <v>96</v>
      </c>
      <c r="D20" s="344">
        <v>411</v>
      </c>
      <c r="E20" s="344">
        <v>857</v>
      </c>
      <c r="F20" s="474">
        <v>888</v>
      </c>
      <c r="G20" s="438">
        <v>491</v>
      </c>
      <c r="H20" s="344">
        <v>813</v>
      </c>
      <c r="I20" s="344">
        <v>1148</v>
      </c>
      <c r="J20" s="474">
        <v>1531</v>
      </c>
      <c r="K20" s="438">
        <v>430</v>
      </c>
      <c r="L20" s="344">
        <v>1715</v>
      </c>
      <c r="M20" s="344">
        <v>903</v>
      </c>
      <c r="N20" s="474">
        <v>1625</v>
      </c>
      <c r="O20" s="438">
        <v>1176</v>
      </c>
      <c r="P20" s="344">
        <v>1300</v>
      </c>
      <c r="Q20" s="344"/>
      <c r="R20" s="474"/>
    </row>
    <row r="21" spans="2:18" x14ac:dyDescent="0.25">
      <c r="B21" s="250" t="s">
        <v>132</v>
      </c>
      <c r="C21" s="361">
        <v>-119</v>
      </c>
      <c r="D21" s="417">
        <v>-733</v>
      </c>
      <c r="E21" s="417">
        <v>-713</v>
      </c>
      <c r="F21" s="431">
        <v>-691</v>
      </c>
      <c r="G21" s="361">
        <v>-734</v>
      </c>
      <c r="H21" s="417">
        <v>-866</v>
      </c>
      <c r="I21" s="417">
        <v>-594</v>
      </c>
      <c r="J21" s="431">
        <v>-1133</v>
      </c>
      <c r="K21" s="361">
        <v>-262</v>
      </c>
      <c r="L21" s="417">
        <v>-1196</v>
      </c>
      <c r="M21" s="417">
        <v>-392</v>
      </c>
      <c r="N21" s="431">
        <v>-1212</v>
      </c>
      <c r="O21" s="361">
        <v>-699</v>
      </c>
      <c r="P21" s="417">
        <v>-855</v>
      </c>
      <c r="Q21" s="417"/>
      <c r="R21" s="431"/>
    </row>
    <row r="22" spans="2:18" x14ac:dyDescent="0.25">
      <c r="B22" s="250"/>
      <c r="C22" s="457">
        <f t="shared" ref="C22:F22" si="0">+C20+C21</f>
        <v>-23</v>
      </c>
      <c r="D22" s="458">
        <f t="shared" si="0"/>
        <v>-322</v>
      </c>
      <c r="E22" s="458">
        <f t="shared" si="0"/>
        <v>144</v>
      </c>
      <c r="F22" s="459">
        <f t="shared" si="0"/>
        <v>197</v>
      </c>
      <c r="G22" s="457">
        <f t="shared" ref="G22:J22" si="1">+G20+G21</f>
        <v>-243</v>
      </c>
      <c r="H22" s="458">
        <f t="shared" si="1"/>
        <v>-53</v>
      </c>
      <c r="I22" s="458">
        <f t="shared" si="1"/>
        <v>554</v>
      </c>
      <c r="J22" s="459">
        <f t="shared" si="1"/>
        <v>398</v>
      </c>
      <c r="K22" s="457">
        <f t="shared" ref="K22:N22" si="2">+K20+K21</f>
        <v>168</v>
      </c>
      <c r="L22" s="458">
        <f t="shared" si="2"/>
        <v>519</v>
      </c>
      <c r="M22" s="458">
        <f t="shared" si="2"/>
        <v>511</v>
      </c>
      <c r="N22" s="459">
        <f t="shared" si="2"/>
        <v>413</v>
      </c>
      <c r="O22" s="457">
        <f t="shared" ref="O22:R22" si="3">+O20+O21</f>
        <v>477</v>
      </c>
      <c r="P22" s="458">
        <f t="shared" si="3"/>
        <v>445</v>
      </c>
      <c r="Q22" s="458">
        <f t="shared" si="3"/>
        <v>0</v>
      </c>
      <c r="R22" s="459">
        <f t="shared" si="3"/>
        <v>0</v>
      </c>
    </row>
    <row r="23" spans="2:18" x14ac:dyDescent="0.25">
      <c r="B23" s="250" t="s">
        <v>67</v>
      </c>
      <c r="C23" s="213">
        <v>-24</v>
      </c>
      <c r="D23" s="214">
        <v>-546</v>
      </c>
      <c r="E23" s="214">
        <v>-223</v>
      </c>
      <c r="F23" s="259">
        <v>-267</v>
      </c>
      <c r="G23" s="213">
        <v>-27</v>
      </c>
      <c r="H23" s="214">
        <v>-29</v>
      </c>
      <c r="I23" s="214">
        <v>-41</v>
      </c>
      <c r="J23" s="259">
        <v>-20</v>
      </c>
      <c r="K23" s="693">
        <v>0</v>
      </c>
      <c r="L23" s="681">
        <v>0</v>
      </c>
      <c r="M23" s="681">
        <v>0</v>
      </c>
      <c r="N23" s="682">
        <v>0</v>
      </c>
      <c r="O23" s="693">
        <v>0</v>
      </c>
      <c r="P23" s="681">
        <v>-6</v>
      </c>
      <c r="Q23" s="681"/>
      <c r="R23" s="682"/>
    </row>
    <row r="24" spans="2:18" x14ac:dyDescent="0.25">
      <c r="B24" s="250" t="s">
        <v>68</v>
      </c>
      <c r="C24" s="213">
        <v>5</v>
      </c>
      <c r="D24" s="214">
        <v>390</v>
      </c>
      <c r="E24" s="214">
        <v>-329</v>
      </c>
      <c r="F24" s="259">
        <v>-3621</v>
      </c>
      <c r="G24" s="213">
        <v>-1</v>
      </c>
      <c r="H24" s="214">
        <v>-537</v>
      </c>
      <c r="I24" s="214">
        <v>-12</v>
      </c>
      <c r="J24" s="259">
        <v>86</v>
      </c>
      <c r="K24" s="213">
        <v>135</v>
      </c>
      <c r="L24" s="214">
        <v>65</v>
      </c>
      <c r="M24" s="214">
        <v>-112</v>
      </c>
      <c r="N24" s="259">
        <v>135</v>
      </c>
      <c r="O24" s="213">
        <v>-67</v>
      </c>
      <c r="P24" s="214">
        <v>-209</v>
      </c>
      <c r="Q24" s="214"/>
      <c r="R24" s="259"/>
    </row>
    <row r="25" spans="2:18" x14ac:dyDescent="0.25">
      <c r="B25" s="250" t="s">
        <v>179</v>
      </c>
      <c r="C25" s="213">
        <v>-13</v>
      </c>
      <c r="D25" s="214">
        <v>-39</v>
      </c>
      <c r="E25" s="214">
        <v>-24</v>
      </c>
      <c r="F25" s="575">
        <v>-55</v>
      </c>
      <c r="G25" s="213">
        <v>-25</v>
      </c>
      <c r="H25" s="214">
        <v>-41</v>
      </c>
      <c r="I25" s="214">
        <v>-57</v>
      </c>
      <c r="J25" s="575">
        <v>-92</v>
      </c>
      <c r="K25" s="213">
        <v>-23</v>
      </c>
      <c r="L25" s="214">
        <v>-75</v>
      </c>
      <c r="M25" s="214">
        <v>-50</v>
      </c>
      <c r="N25" s="575">
        <v>-83</v>
      </c>
      <c r="O25" s="213">
        <v>-57</v>
      </c>
      <c r="P25" s="214">
        <v>-61</v>
      </c>
      <c r="Q25" s="214"/>
      <c r="R25" s="575"/>
    </row>
    <row r="26" spans="2:18" x14ac:dyDescent="0.25">
      <c r="B26" s="250" t="s">
        <v>69</v>
      </c>
      <c r="C26" s="438">
        <v>0</v>
      </c>
      <c r="D26" s="344">
        <v>0</v>
      </c>
      <c r="E26" s="344">
        <v>0</v>
      </c>
      <c r="F26" s="474">
        <v>0</v>
      </c>
      <c r="G26" s="683">
        <v>0</v>
      </c>
      <c r="H26" s="684">
        <v>0</v>
      </c>
      <c r="I26" s="684">
        <v>0</v>
      </c>
      <c r="J26" s="685">
        <v>0</v>
      </c>
      <c r="K26" s="683">
        <v>0</v>
      </c>
      <c r="L26" s="684">
        <v>0</v>
      </c>
      <c r="M26" s="684">
        <v>0</v>
      </c>
      <c r="N26" s="685">
        <v>0</v>
      </c>
      <c r="O26" s="683">
        <v>0</v>
      </c>
      <c r="P26" s="684">
        <v>0</v>
      </c>
      <c r="Q26" s="684">
        <v>0</v>
      </c>
      <c r="R26" s="685">
        <v>0</v>
      </c>
    </row>
    <row r="27" spans="2:18" ht="15.75" thickBot="1" x14ac:dyDescent="0.3">
      <c r="B27" s="303" t="s">
        <v>70</v>
      </c>
      <c r="C27" s="545">
        <f t="shared" ref="C27:F27" si="4">SUM(C22:C26)</f>
        <v>-55</v>
      </c>
      <c r="D27" s="546">
        <f t="shared" si="4"/>
        <v>-517</v>
      </c>
      <c r="E27" s="546">
        <f t="shared" si="4"/>
        <v>-432</v>
      </c>
      <c r="F27" s="547">
        <f t="shared" si="4"/>
        <v>-3746</v>
      </c>
      <c r="G27" s="545">
        <f t="shared" ref="G27:J27" si="5">SUM(G22:G26)</f>
        <v>-296</v>
      </c>
      <c r="H27" s="546">
        <f t="shared" si="5"/>
        <v>-660</v>
      </c>
      <c r="I27" s="546">
        <f t="shared" si="5"/>
        <v>444</v>
      </c>
      <c r="J27" s="547">
        <f t="shared" si="5"/>
        <v>372</v>
      </c>
      <c r="K27" s="545">
        <f t="shared" ref="K27:N27" si="6">SUM(K22:K26)</f>
        <v>280</v>
      </c>
      <c r="L27" s="546">
        <f t="shared" si="6"/>
        <v>509</v>
      </c>
      <c r="M27" s="546">
        <f t="shared" si="6"/>
        <v>349</v>
      </c>
      <c r="N27" s="547">
        <f t="shared" si="6"/>
        <v>465</v>
      </c>
      <c r="O27" s="545">
        <f t="shared" ref="O27:R27" si="7">SUM(O22:O26)</f>
        <v>353</v>
      </c>
      <c r="P27" s="546">
        <f t="shared" si="7"/>
        <v>169</v>
      </c>
      <c r="Q27" s="546">
        <f t="shared" si="7"/>
        <v>0</v>
      </c>
      <c r="R27" s="547">
        <f t="shared" si="7"/>
        <v>0</v>
      </c>
    </row>
    <row r="28" spans="2:18" ht="15.75" thickTop="1" x14ac:dyDescent="0.25">
      <c r="C28" s="438"/>
      <c r="D28" s="344"/>
      <c r="E28" s="344"/>
      <c r="F28" s="474"/>
      <c r="G28" s="438"/>
      <c r="H28" s="344"/>
      <c r="I28" s="344"/>
      <c r="J28" s="474"/>
      <c r="K28" s="438"/>
      <c r="L28" s="344"/>
      <c r="M28" s="344"/>
      <c r="N28" s="474"/>
      <c r="O28" s="438"/>
      <c r="P28" s="344"/>
      <c r="Q28" s="344"/>
      <c r="R28" s="474"/>
    </row>
    <row r="29" spans="2:18" x14ac:dyDescent="0.25">
      <c r="B29" s="296" t="s">
        <v>134</v>
      </c>
      <c r="C29" s="438"/>
      <c r="D29" s="344"/>
      <c r="E29" s="344"/>
      <c r="F29" s="474"/>
      <c r="G29" s="438"/>
      <c r="H29" s="344"/>
      <c r="I29" s="344"/>
      <c r="J29" s="474"/>
      <c r="K29" s="438"/>
      <c r="L29" s="344"/>
      <c r="M29" s="344"/>
      <c r="N29" s="474"/>
      <c r="O29" s="438"/>
      <c r="P29" s="344"/>
      <c r="Q29" s="344"/>
      <c r="R29" s="474"/>
    </row>
    <row r="30" spans="2:18" x14ac:dyDescent="0.25">
      <c r="B30" s="208" t="s">
        <v>59</v>
      </c>
      <c r="C30" s="438"/>
      <c r="D30" s="344"/>
      <c r="E30" s="344"/>
      <c r="F30" s="474"/>
      <c r="G30" s="438"/>
      <c r="H30" s="344"/>
      <c r="I30" s="344"/>
      <c r="J30" s="474"/>
      <c r="K30" s="438"/>
      <c r="L30" s="344"/>
      <c r="M30" s="344"/>
      <c r="N30" s="474"/>
      <c r="O30" s="438"/>
      <c r="P30" s="344"/>
      <c r="Q30" s="344"/>
      <c r="R30" s="474"/>
    </row>
    <row r="31" spans="2:18" x14ac:dyDescent="0.25">
      <c r="B31" s="208" t="s">
        <v>61</v>
      </c>
      <c r="C31" s="438">
        <v>7</v>
      </c>
      <c r="D31" s="344">
        <v>35</v>
      </c>
      <c r="E31" s="344">
        <v>30</v>
      </c>
      <c r="F31" s="474">
        <v>42</v>
      </c>
      <c r="G31" s="438">
        <v>11</v>
      </c>
      <c r="H31" s="344">
        <v>23</v>
      </c>
      <c r="I31" s="344">
        <v>30</v>
      </c>
      <c r="J31" s="474">
        <v>121</v>
      </c>
      <c r="K31" s="438">
        <v>13</v>
      </c>
      <c r="L31" s="344">
        <v>8</v>
      </c>
      <c r="M31" s="344">
        <v>11</v>
      </c>
      <c r="N31" s="474">
        <v>27</v>
      </c>
      <c r="O31" s="438">
        <v>2</v>
      </c>
      <c r="P31" s="344">
        <v>4</v>
      </c>
      <c r="Q31" s="344"/>
      <c r="R31" s="474"/>
    </row>
    <row r="32" spans="2:18" x14ac:dyDescent="0.25">
      <c r="B32" s="208" t="s">
        <v>63</v>
      </c>
      <c r="C32" s="438">
        <v>23</v>
      </c>
      <c r="D32" s="344">
        <v>24</v>
      </c>
      <c r="E32" s="344">
        <v>4</v>
      </c>
      <c r="F32" s="474">
        <v>0</v>
      </c>
      <c r="G32" s="438">
        <v>0</v>
      </c>
      <c r="H32" s="344">
        <v>1</v>
      </c>
      <c r="I32" s="344">
        <v>0</v>
      </c>
      <c r="J32" s="474">
        <v>5</v>
      </c>
      <c r="K32" s="438">
        <v>5</v>
      </c>
      <c r="L32" s="344">
        <v>7</v>
      </c>
      <c r="M32" s="344">
        <v>25</v>
      </c>
      <c r="N32" s="474">
        <v>18</v>
      </c>
      <c r="O32" s="438">
        <v>11</v>
      </c>
      <c r="P32" s="344">
        <v>10</v>
      </c>
      <c r="Q32" s="344"/>
      <c r="R32" s="474"/>
    </row>
    <row r="33" spans="2:18" x14ac:dyDescent="0.25">
      <c r="B33" s="1" t="s">
        <v>64</v>
      </c>
      <c r="C33" s="548">
        <f t="shared" ref="C33:F33" si="8">SUM(C30:C32)</f>
        <v>30</v>
      </c>
      <c r="D33" s="549">
        <f t="shared" si="8"/>
        <v>59</v>
      </c>
      <c r="E33" s="549">
        <f t="shared" si="8"/>
        <v>34</v>
      </c>
      <c r="F33" s="550">
        <f t="shared" si="8"/>
        <v>42</v>
      </c>
      <c r="G33" s="548">
        <f t="shared" ref="G33:J33" si="9">SUM(G30:G32)</f>
        <v>11</v>
      </c>
      <c r="H33" s="549">
        <f t="shared" si="9"/>
        <v>24</v>
      </c>
      <c r="I33" s="549">
        <f t="shared" si="9"/>
        <v>30</v>
      </c>
      <c r="J33" s="550">
        <f t="shared" si="9"/>
        <v>126</v>
      </c>
      <c r="K33" s="548">
        <f t="shared" ref="K33:N33" si="10">SUM(K30:K32)</f>
        <v>18</v>
      </c>
      <c r="L33" s="549">
        <f t="shared" si="10"/>
        <v>15</v>
      </c>
      <c r="M33" s="549">
        <f t="shared" si="10"/>
        <v>36</v>
      </c>
      <c r="N33" s="550">
        <f t="shared" si="10"/>
        <v>45</v>
      </c>
      <c r="O33" s="548">
        <f t="shared" ref="O33:R33" si="11">SUM(O30:O32)</f>
        <v>13</v>
      </c>
      <c r="P33" s="549">
        <f t="shared" si="11"/>
        <v>14</v>
      </c>
      <c r="Q33" s="549">
        <f t="shared" si="11"/>
        <v>0</v>
      </c>
      <c r="R33" s="550">
        <f t="shared" si="11"/>
        <v>0</v>
      </c>
    </row>
    <row r="34" spans="2:18" x14ac:dyDescent="0.25">
      <c r="C34" s="438"/>
      <c r="D34" s="344"/>
      <c r="E34" s="344"/>
      <c r="F34" s="474"/>
      <c r="G34" s="438"/>
      <c r="H34" s="344"/>
      <c r="I34" s="344"/>
      <c r="J34" s="474"/>
      <c r="K34" s="438"/>
      <c r="L34" s="344"/>
      <c r="M34" s="344"/>
      <c r="N34" s="474"/>
      <c r="O34" s="438"/>
      <c r="P34" s="344"/>
      <c r="Q34" s="344"/>
      <c r="R34" s="474"/>
    </row>
    <row r="35" spans="2:18" x14ac:dyDescent="0.25">
      <c r="B35" s="296" t="s">
        <v>71</v>
      </c>
      <c r="C35" s="438"/>
      <c r="D35" s="344"/>
      <c r="E35" s="344"/>
      <c r="F35" s="474"/>
      <c r="G35" s="438"/>
      <c r="H35" s="344"/>
      <c r="I35" s="344"/>
      <c r="J35" s="474"/>
      <c r="K35" s="438"/>
      <c r="L35" s="344"/>
      <c r="M35" s="344"/>
      <c r="N35" s="474"/>
      <c r="O35" s="438"/>
      <c r="P35" s="344"/>
      <c r="Q35" s="344"/>
      <c r="R35" s="474"/>
    </row>
    <row r="36" spans="2:18" x14ac:dyDescent="0.25">
      <c r="B36" s="208" t="s">
        <v>231</v>
      </c>
      <c r="C36" s="513">
        <v>36287</v>
      </c>
      <c r="D36" s="514">
        <v>28832</v>
      </c>
      <c r="E36" s="514">
        <v>31747</v>
      </c>
      <c r="F36" s="521">
        <v>33852</v>
      </c>
      <c r="G36" s="513">
        <v>41346</v>
      </c>
      <c r="H36" s="514">
        <v>46868</v>
      </c>
      <c r="I36" s="514">
        <v>55553</v>
      </c>
      <c r="J36" s="521">
        <v>49558</v>
      </c>
      <c r="K36" s="513">
        <v>51883</v>
      </c>
      <c r="L36" s="514">
        <v>47276</v>
      </c>
      <c r="M36" s="514">
        <v>47562</v>
      </c>
      <c r="N36" s="521">
        <v>49626</v>
      </c>
      <c r="O36" s="513">
        <v>42942</v>
      </c>
      <c r="P36" s="514">
        <v>68842</v>
      </c>
      <c r="Q36" s="514"/>
      <c r="R36" s="521"/>
    </row>
    <row r="37" spans="2:18" x14ac:dyDescent="0.25">
      <c r="B37" s="208" t="s">
        <v>233</v>
      </c>
      <c r="C37" s="513">
        <f t="shared" ref="C37:J37" si="12">+C36/C43</f>
        <v>2043.1869369369367</v>
      </c>
      <c r="D37" s="514">
        <f t="shared" si="12"/>
        <v>1545.123258306538</v>
      </c>
      <c r="E37" s="514">
        <f t="shared" si="12"/>
        <v>1707.7461000537924</v>
      </c>
      <c r="F37" s="521">
        <f t="shared" si="12"/>
        <v>1815.1206434316355</v>
      </c>
      <c r="G37" s="513">
        <f t="shared" si="12"/>
        <v>2192.2587486744433</v>
      </c>
      <c r="H37" s="514">
        <f t="shared" si="12"/>
        <v>2523.8556812062466</v>
      </c>
      <c r="I37" s="514">
        <f t="shared" si="12"/>
        <v>3093.1514476614698</v>
      </c>
      <c r="J37" s="521">
        <f t="shared" si="12"/>
        <v>2771.7002237136467</v>
      </c>
      <c r="K37" s="513">
        <f>+K36/K43-1</f>
        <v>2806.5216450216449</v>
      </c>
      <c r="L37" s="514">
        <f t="shared" ref="L37:R37" si="13">+L36/L43</f>
        <v>2584.800437397485</v>
      </c>
      <c r="M37" s="514">
        <f t="shared" si="13"/>
        <v>2696.2585034013605</v>
      </c>
      <c r="N37" s="521">
        <f t="shared" si="13"/>
        <v>2900.4091174751607</v>
      </c>
      <c r="O37" s="513">
        <f t="shared" si="13"/>
        <v>2628.0293757649938</v>
      </c>
      <c r="P37" s="514">
        <f t="shared" si="13"/>
        <v>4177.3058252427181</v>
      </c>
      <c r="Q37" s="514" t="e">
        <f t="shared" si="13"/>
        <v>#DIV/0!</v>
      </c>
      <c r="R37" s="521" t="e">
        <f t="shared" si="13"/>
        <v>#DIV/0!</v>
      </c>
    </row>
    <row r="38" spans="2:18" x14ac:dyDescent="0.25">
      <c r="B38" s="227" t="s">
        <v>232</v>
      </c>
      <c r="C38" s="513">
        <v>163477</v>
      </c>
      <c r="D38" s="514">
        <v>37562</v>
      </c>
      <c r="E38" s="514">
        <v>32587</v>
      </c>
      <c r="F38" s="521">
        <v>32783</v>
      </c>
      <c r="G38" s="513">
        <v>48547</v>
      </c>
      <c r="H38" s="514">
        <v>37348</v>
      </c>
      <c r="I38" s="514">
        <v>32486</v>
      </c>
      <c r="J38" s="521">
        <v>66039</v>
      </c>
      <c r="K38" s="513">
        <v>32127</v>
      </c>
      <c r="L38" s="514">
        <v>32679</v>
      </c>
      <c r="M38" s="514">
        <v>35539</v>
      </c>
      <c r="N38" s="521">
        <v>37286</v>
      </c>
      <c r="O38" s="513">
        <v>35766</v>
      </c>
      <c r="P38" s="514">
        <v>35323</v>
      </c>
      <c r="Q38" s="514"/>
      <c r="R38" s="521"/>
    </row>
    <row r="39" spans="2:18" x14ac:dyDescent="0.25">
      <c r="B39" s="227" t="s">
        <v>234</v>
      </c>
      <c r="C39" s="513">
        <f t="shared" ref="C39:J39" si="14">+C38/C43</f>
        <v>9204.7860360360355</v>
      </c>
      <c r="D39" s="514">
        <f t="shared" si="14"/>
        <v>2012.9689174705252</v>
      </c>
      <c r="E39" s="514">
        <f t="shared" si="14"/>
        <v>1752.9316837009144</v>
      </c>
      <c r="F39" s="521">
        <f t="shared" si="14"/>
        <v>1757.8016085790887</v>
      </c>
      <c r="G39" s="513">
        <f t="shared" si="14"/>
        <v>2574.0721102863204</v>
      </c>
      <c r="H39" s="514">
        <f t="shared" si="14"/>
        <v>2011.2008616047387</v>
      </c>
      <c r="I39" s="514">
        <f t="shared" si="14"/>
        <v>1808.7973273942093</v>
      </c>
      <c r="J39" s="521">
        <f t="shared" si="14"/>
        <v>3693.4563758389263</v>
      </c>
      <c r="K39" s="513">
        <f t="shared" ref="K39:N39" si="15">+K38/K43</f>
        <v>1738.4740259740258</v>
      </c>
      <c r="L39" s="514">
        <f t="shared" si="15"/>
        <v>1786.7140513942045</v>
      </c>
      <c r="M39" s="514">
        <f t="shared" si="15"/>
        <v>2014.6825396825395</v>
      </c>
      <c r="N39" s="521">
        <f t="shared" si="15"/>
        <v>2179.1934541203973</v>
      </c>
      <c r="O39" s="513">
        <f t="shared" ref="O39:R39" si="16">+O38/O43</f>
        <v>2188.8616891064871</v>
      </c>
      <c r="P39" s="514">
        <f t="shared" si="16"/>
        <v>2143.3859223300969</v>
      </c>
      <c r="Q39" s="514" t="e">
        <f t="shared" si="16"/>
        <v>#DIV/0!</v>
      </c>
      <c r="R39" s="521" t="e">
        <f t="shared" si="16"/>
        <v>#DIV/0!</v>
      </c>
    </row>
    <row r="40" spans="2:18" x14ac:dyDescent="0.25">
      <c r="B40" s="227" t="s">
        <v>243</v>
      </c>
      <c r="C40" s="513">
        <v>208134</v>
      </c>
      <c r="D40" s="514">
        <v>41692</v>
      </c>
      <c r="E40" s="557">
        <v>34937</v>
      </c>
      <c r="F40" s="562">
        <v>33390</v>
      </c>
      <c r="G40" s="513">
        <v>48547</v>
      </c>
      <c r="H40" s="514">
        <v>37620</v>
      </c>
      <c r="I40" s="557">
        <v>32559</v>
      </c>
      <c r="J40" s="562">
        <v>66428</v>
      </c>
      <c r="K40" s="513">
        <v>32328</v>
      </c>
      <c r="L40" s="514">
        <v>32943</v>
      </c>
      <c r="M40" s="514">
        <v>36560</v>
      </c>
      <c r="N40" s="562">
        <v>38009</v>
      </c>
      <c r="O40" s="513">
        <v>36315</v>
      </c>
      <c r="P40" s="514">
        <v>35730</v>
      </c>
      <c r="Q40" s="514"/>
      <c r="R40" s="562"/>
    </row>
    <row r="41" spans="2:18" x14ac:dyDescent="0.25">
      <c r="B41" s="227" t="s">
        <v>244</v>
      </c>
      <c r="C41" s="513">
        <f t="shared" ref="C41:J41" si="17">+C40/C43</f>
        <v>11719.256756756755</v>
      </c>
      <c r="D41" s="514">
        <f t="shared" si="17"/>
        <v>2234.2979635584138</v>
      </c>
      <c r="E41" s="514">
        <f t="shared" si="17"/>
        <v>1879.343733189887</v>
      </c>
      <c r="F41" s="521">
        <f t="shared" si="17"/>
        <v>1790.3485254691691</v>
      </c>
      <c r="G41" s="513">
        <f t="shared" si="17"/>
        <v>2574.0721102863204</v>
      </c>
      <c r="H41" s="514">
        <f t="shared" si="17"/>
        <v>2025.8481421647818</v>
      </c>
      <c r="I41" s="514">
        <f t="shared" si="17"/>
        <v>1812.8619153674831</v>
      </c>
      <c r="J41" s="521">
        <f t="shared" si="17"/>
        <v>3715.2125279642059</v>
      </c>
      <c r="K41" s="513">
        <f t="shared" ref="K41:N41" si="18">+K40/K43</f>
        <v>1749.3506493506493</v>
      </c>
      <c r="L41" s="514">
        <f t="shared" si="18"/>
        <v>1801.1481683980319</v>
      </c>
      <c r="M41" s="514">
        <f t="shared" si="18"/>
        <v>2072.5623582766439</v>
      </c>
      <c r="N41" s="521">
        <f t="shared" si="18"/>
        <v>2221.4494447691409</v>
      </c>
      <c r="O41" s="513">
        <f t="shared" ref="O41:R41" si="19">+O40/O43</f>
        <v>2222.4602203182376</v>
      </c>
      <c r="P41" s="514">
        <f t="shared" si="19"/>
        <v>2168.0825242718447</v>
      </c>
      <c r="Q41" s="514" t="e">
        <f t="shared" si="19"/>
        <v>#DIV/0!</v>
      </c>
      <c r="R41" s="521" t="e">
        <f t="shared" si="19"/>
        <v>#DIV/0!</v>
      </c>
    </row>
    <row r="42" spans="2:18" x14ac:dyDescent="0.25">
      <c r="B42" s="227"/>
      <c r="C42" s="513"/>
      <c r="D42" s="514"/>
      <c r="F42" s="227"/>
      <c r="G42" s="513"/>
      <c r="H42" s="514"/>
      <c r="J42" s="227"/>
      <c r="K42" s="513"/>
      <c r="L42" s="514"/>
      <c r="N42" s="227"/>
      <c r="O42" s="513"/>
      <c r="P42" s="514"/>
      <c r="R42" s="227"/>
    </row>
    <row r="43" spans="2:18" x14ac:dyDescent="0.25">
      <c r="B43" s="650" t="s">
        <v>83</v>
      </c>
      <c r="C43" s="651">
        <v>17.760000000000002</v>
      </c>
      <c r="D43" s="313">
        <v>18.66</v>
      </c>
      <c r="E43" s="652">
        <v>18.59</v>
      </c>
      <c r="F43" s="305">
        <v>18.649999999999999</v>
      </c>
      <c r="G43" s="651">
        <v>18.86</v>
      </c>
      <c r="H43" s="653">
        <v>18.57</v>
      </c>
      <c r="I43" s="652">
        <v>17.96</v>
      </c>
      <c r="J43" s="654">
        <v>17.88</v>
      </c>
      <c r="K43" s="651">
        <v>18.48</v>
      </c>
      <c r="L43" s="652">
        <v>18.29</v>
      </c>
      <c r="M43" s="652">
        <v>17.64</v>
      </c>
      <c r="N43" s="654">
        <v>17.11</v>
      </c>
      <c r="O43" s="651">
        <v>16.34</v>
      </c>
      <c r="P43" s="652">
        <v>16.48</v>
      </c>
      <c r="Q43" s="652"/>
      <c r="R43" s="654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1BAA-1593-4311-A77E-E87EDFA8F68E}">
  <dimension ref="B1:N44"/>
  <sheetViews>
    <sheetView zoomScaleNormal="100" workbookViewId="0">
      <selection activeCell="L19" sqref="L19"/>
    </sheetView>
  </sheetViews>
  <sheetFormatPr defaultRowHeight="15" x14ac:dyDescent="0.25"/>
  <cols>
    <col min="1" max="1" width="2.28515625" style="208" customWidth="1"/>
    <col min="2" max="2" width="49.5703125" style="208" bestFit="1" customWidth="1"/>
    <col min="3" max="12" width="12" style="208" customWidth="1"/>
    <col min="13" max="14" width="12" style="208" hidden="1" customWidth="1"/>
    <col min="15" max="16384" width="9.140625" style="208"/>
  </cols>
  <sheetData>
    <row r="1" spans="2:14" x14ac:dyDescent="0.25">
      <c r="B1" s="506"/>
      <c r="C1" s="580">
        <v>45352</v>
      </c>
      <c r="D1" s="581">
        <v>45444</v>
      </c>
      <c r="E1" s="581">
        <v>45536</v>
      </c>
      <c r="F1" s="583">
        <v>45627</v>
      </c>
      <c r="G1" s="580">
        <v>45717</v>
      </c>
      <c r="H1" s="581">
        <v>45809</v>
      </c>
      <c r="I1" s="581">
        <v>45901</v>
      </c>
      <c r="J1" s="583">
        <v>45992</v>
      </c>
      <c r="K1" s="580">
        <v>46082</v>
      </c>
      <c r="L1" s="581">
        <v>46174</v>
      </c>
      <c r="M1" s="581">
        <v>46266</v>
      </c>
      <c r="N1" s="583">
        <v>46357</v>
      </c>
    </row>
    <row r="2" spans="2:14" ht="51" customHeight="1" x14ac:dyDescent="0.25">
      <c r="B2" s="582" t="s">
        <v>271</v>
      </c>
      <c r="F2" s="400"/>
      <c r="G2" s="982" t="s">
        <v>272</v>
      </c>
      <c r="H2" s="973"/>
      <c r="I2" s="973"/>
      <c r="J2" s="975"/>
      <c r="K2" s="982" t="s">
        <v>275</v>
      </c>
      <c r="L2" s="973"/>
      <c r="M2" s="973"/>
      <c r="N2" s="975"/>
    </row>
    <row r="3" spans="2:14" ht="15" customHeight="1" x14ac:dyDescent="0.25">
      <c r="B3" s="510"/>
      <c r="C3" s="336"/>
      <c r="D3" s="336"/>
      <c r="E3" s="336"/>
      <c r="F3" s="400"/>
      <c r="G3" s="336"/>
      <c r="H3" s="336"/>
      <c r="I3" s="336"/>
      <c r="J3" s="400"/>
      <c r="K3" s="336"/>
      <c r="L3" s="336"/>
      <c r="M3" s="336"/>
      <c r="N3" s="400"/>
    </row>
    <row r="4" spans="2:14" x14ac:dyDescent="0.25">
      <c r="B4" s="296" t="s">
        <v>269</v>
      </c>
      <c r="C4" s="438"/>
      <c r="D4" s="344"/>
      <c r="E4" s="344"/>
      <c r="F4" s="474"/>
      <c r="G4" s="438"/>
      <c r="H4" s="344"/>
      <c r="I4" s="344"/>
      <c r="J4" s="474"/>
      <c r="K4" s="438"/>
      <c r="L4" s="344"/>
      <c r="M4" s="344"/>
      <c r="N4" s="474"/>
    </row>
    <row r="5" spans="2:14" x14ac:dyDescent="0.25">
      <c r="B5" s="511" t="s">
        <v>245</v>
      </c>
      <c r="C5" s="587">
        <v>10653</v>
      </c>
      <c r="D5" s="586">
        <v>31215</v>
      </c>
      <c r="E5" s="514">
        <v>31006</v>
      </c>
      <c r="F5" s="521">
        <v>34806</v>
      </c>
      <c r="G5" s="587">
        <v>28023</v>
      </c>
      <c r="H5" s="586">
        <v>35969</v>
      </c>
      <c r="I5" s="514">
        <v>35229</v>
      </c>
      <c r="J5" s="521">
        <v>45229</v>
      </c>
      <c r="K5" s="587">
        <v>44013</v>
      </c>
      <c r="L5" s="586">
        <v>51175</v>
      </c>
      <c r="M5" s="514"/>
      <c r="N5" s="521"/>
    </row>
    <row r="6" spans="2:14" x14ac:dyDescent="0.25">
      <c r="B6" s="511" t="s">
        <v>246</v>
      </c>
      <c r="C6" s="587">
        <v>404405</v>
      </c>
      <c r="D6" s="586">
        <v>451465</v>
      </c>
      <c r="E6" s="514">
        <v>432996</v>
      </c>
      <c r="F6" s="521">
        <v>371433</v>
      </c>
      <c r="G6" s="587">
        <v>464407</v>
      </c>
      <c r="H6" s="586">
        <v>468305</v>
      </c>
      <c r="I6" s="514">
        <v>433789</v>
      </c>
      <c r="J6" s="521">
        <v>952671</v>
      </c>
      <c r="K6" s="587">
        <v>1191433</v>
      </c>
      <c r="L6" s="586">
        <v>1306793</v>
      </c>
      <c r="M6" s="514"/>
      <c r="N6" s="521"/>
    </row>
    <row r="7" spans="2:14" x14ac:dyDescent="0.25">
      <c r="B7" s="511" t="s">
        <v>247</v>
      </c>
      <c r="C7" s="587">
        <v>931</v>
      </c>
      <c r="D7" s="586">
        <v>6212</v>
      </c>
      <c r="E7" s="514">
        <v>4707</v>
      </c>
      <c r="F7" s="259">
        <v>3442</v>
      </c>
      <c r="G7" s="587">
        <v>5981</v>
      </c>
      <c r="H7" s="586">
        <v>2039</v>
      </c>
      <c r="I7" s="514">
        <v>5321</v>
      </c>
      <c r="J7" s="259">
        <v>15861</v>
      </c>
      <c r="K7" s="587">
        <v>15628</v>
      </c>
      <c r="L7" s="586">
        <v>13997</v>
      </c>
      <c r="M7" s="514"/>
      <c r="N7" s="259"/>
    </row>
    <row r="8" spans="2:14" x14ac:dyDescent="0.25">
      <c r="B8" s="511" t="s">
        <v>248</v>
      </c>
      <c r="C8" s="587">
        <v>1680</v>
      </c>
      <c r="D8" s="586">
        <v>5820</v>
      </c>
      <c r="E8" s="514">
        <v>6628</v>
      </c>
      <c r="F8" s="259">
        <v>5707</v>
      </c>
      <c r="G8" s="587">
        <v>8638</v>
      </c>
      <c r="H8" s="586">
        <v>2919</v>
      </c>
      <c r="I8" s="514">
        <v>5702</v>
      </c>
      <c r="J8" s="259">
        <v>18780</v>
      </c>
      <c r="K8" s="587">
        <v>20455</v>
      </c>
      <c r="L8" s="586">
        <v>16492</v>
      </c>
      <c r="M8" s="514"/>
      <c r="N8" s="259"/>
    </row>
    <row r="9" spans="2:14" x14ac:dyDescent="0.25">
      <c r="B9" s="511" t="s">
        <v>249</v>
      </c>
      <c r="C9" s="587">
        <v>32</v>
      </c>
      <c r="D9" s="586">
        <v>5</v>
      </c>
      <c r="E9" s="514">
        <v>0</v>
      </c>
      <c r="F9" s="521">
        <v>25</v>
      </c>
      <c r="G9" s="587">
        <v>1</v>
      </c>
      <c r="H9" s="586">
        <v>365</v>
      </c>
      <c r="I9" s="514">
        <v>308</v>
      </c>
      <c r="J9" s="521">
        <v>3479</v>
      </c>
      <c r="K9" s="587">
        <v>2720</v>
      </c>
      <c r="L9" s="586">
        <v>2425</v>
      </c>
      <c r="M9" s="514"/>
      <c r="N9" s="521"/>
    </row>
    <row r="10" spans="2:14" x14ac:dyDescent="0.25">
      <c r="B10" s="511" t="s">
        <v>250</v>
      </c>
      <c r="C10" s="587">
        <v>161061</v>
      </c>
      <c r="D10" s="586">
        <v>905175</v>
      </c>
      <c r="E10" s="514">
        <v>794476</v>
      </c>
      <c r="F10" s="521">
        <v>729623</v>
      </c>
      <c r="G10" s="587">
        <v>747577</v>
      </c>
      <c r="H10" s="586">
        <v>751607</v>
      </c>
      <c r="I10" s="514">
        <v>847694</v>
      </c>
      <c r="J10" s="521">
        <v>868675</v>
      </c>
      <c r="K10" s="587">
        <v>722663</v>
      </c>
      <c r="L10" s="586">
        <v>705126</v>
      </c>
      <c r="M10" s="514"/>
      <c r="N10" s="521"/>
    </row>
    <row r="11" spans="2:14" x14ac:dyDescent="0.25">
      <c r="B11" s="208" t="s">
        <v>251</v>
      </c>
      <c r="C11" s="587">
        <v>738905</v>
      </c>
      <c r="D11" s="586">
        <v>1305987</v>
      </c>
      <c r="E11" s="344">
        <v>1263545</v>
      </c>
      <c r="F11" s="474">
        <v>1382364</v>
      </c>
      <c r="G11" s="587">
        <v>621663</v>
      </c>
      <c r="H11" s="586">
        <v>623511</v>
      </c>
      <c r="I11" s="344">
        <v>171633</v>
      </c>
      <c r="J11" s="474">
        <v>44528</v>
      </c>
      <c r="K11" s="587">
        <v>18849</v>
      </c>
      <c r="L11" s="586">
        <v>11168</v>
      </c>
      <c r="M11" s="344"/>
      <c r="N11" s="474"/>
    </row>
    <row r="12" spans="2:14" x14ac:dyDescent="0.25">
      <c r="C12" s="513"/>
      <c r="D12" s="344"/>
      <c r="E12" s="344"/>
      <c r="F12" s="474"/>
      <c r="G12" s="513"/>
      <c r="H12" s="344"/>
      <c r="I12" s="344"/>
      <c r="J12" s="474"/>
      <c r="K12" s="513"/>
      <c r="L12" s="344"/>
      <c r="M12" s="344"/>
      <c r="N12" s="474"/>
    </row>
    <row r="13" spans="2:14" x14ac:dyDescent="0.25">
      <c r="B13" s="296" t="s">
        <v>270</v>
      </c>
      <c r="C13" s="513"/>
      <c r="D13" s="344"/>
      <c r="E13" s="344"/>
      <c r="F13" s="474"/>
      <c r="G13" s="513"/>
      <c r="H13" s="344"/>
      <c r="I13" s="344"/>
      <c r="J13" s="474"/>
      <c r="K13" s="513"/>
      <c r="L13" s="344"/>
      <c r="M13" s="344"/>
      <c r="N13" s="474"/>
    </row>
    <row r="14" spans="2:14" x14ac:dyDescent="0.25">
      <c r="B14" s="208" t="s">
        <v>201</v>
      </c>
      <c r="C14" s="513"/>
      <c r="D14" s="344"/>
      <c r="E14" s="344"/>
      <c r="F14" s="474"/>
      <c r="G14" s="513"/>
      <c r="H14" s="344"/>
      <c r="I14" s="344"/>
      <c r="J14" s="474"/>
      <c r="K14" s="701">
        <v>7.98</v>
      </c>
      <c r="L14" s="373">
        <v>8.6999999999999993</v>
      </c>
      <c r="M14" s="344"/>
      <c r="N14" s="474"/>
    </row>
    <row r="15" spans="2:14" x14ac:dyDescent="0.25">
      <c r="B15" s="208" t="s">
        <v>202</v>
      </c>
      <c r="C15" s="513"/>
      <c r="D15" s="344"/>
      <c r="E15" s="344"/>
      <c r="F15" s="474"/>
      <c r="G15" s="513"/>
      <c r="H15" s="344"/>
      <c r="I15" s="344"/>
      <c r="J15" s="474"/>
      <c r="K15" s="587">
        <v>717</v>
      </c>
      <c r="L15" s="344">
        <v>791</v>
      </c>
      <c r="M15" s="344"/>
      <c r="N15" s="474"/>
    </row>
    <row r="16" spans="2:14" x14ac:dyDescent="0.25">
      <c r="B16" s="208" t="s">
        <v>203</v>
      </c>
      <c r="C16" s="513"/>
      <c r="D16" s="344"/>
      <c r="E16" s="344"/>
      <c r="F16" s="474"/>
      <c r="G16" s="513"/>
      <c r="H16" s="344"/>
      <c r="I16" s="344"/>
      <c r="J16" s="474"/>
      <c r="K16" s="587">
        <v>0</v>
      </c>
      <c r="L16" s="715">
        <v>0</v>
      </c>
      <c r="M16" s="344"/>
      <c r="N16" s="474"/>
    </row>
    <row r="17" spans="2:14" x14ac:dyDescent="0.25">
      <c r="B17" s="208" t="s">
        <v>204</v>
      </c>
      <c r="C17" s="513"/>
      <c r="D17" s="344"/>
      <c r="E17" s="344"/>
      <c r="F17" s="474"/>
      <c r="G17" s="513"/>
      <c r="H17" s="344"/>
      <c r="I17" s="344"/>
      <c r="J17" s="474"/>
      <c r="K17" s="587">
        <v>717</v>
      </c>
      <c r="L17" s="344">
        <v>791</v>
      </c>
      <c r="M17" s="344"/>
      <c r="N17" s="474"/>
    </row>
    <row r="18" spans="2:14" x14ac:dyDescent="0.25">
      <c r="B18" s="208" t="s">
        <v>125</v>
      </c>
      <c r="C18" s="513"/>
      <c r="D18" s="344"/>
      <c r="E18" s="344"/>
      <c r="F18" s="474"/>
      <c r="G18" s="513"/>
      <c r="H18" s="344"/>
      <c r="I18" s="344"/>
      <c r="J18" s="474"/>
      <c r="K18" s="587">
        <v>58239</v>
      </c>
      <c r="L18" s="344">
        <v>66733</v>
      </c>
      <c r="M18" s="344"/>
      <c r="N18" s="474"/>
    </row>
    <row r="19" spans="2:14" x14ac:dyDescent="0.25">
      <c r="B19" s="208" t="s">
        <v>126</v>
      </c>
      <c r="C19" s="513"/>
      <c r="D19" s="344"/>
      <c r="E19" s="344"/>
      <c r="F19" s="474"/>
      <c r="G19" s="513"/>
      <c r="H19" s="344"/>
      <c r="I19" s="344"/>
      <c r="J19" s="474"/>
      <c r="K19" s="587">
        <v>68794</v>
      </c>
      <c r="L19" s="344">
        <v>54415</v>
      </c>
      <c r="M19" s="344"/>
      <c r="N19" s="474"/>
    </row>
    <row r="20" spans="2:14" x14ac:dyDescent="0.25">
      <c r="B20" s="208" t="s">
        <v>127</v>
      </c>
      <c r="C20" s="513"/>
      <c r="D20" s="344"/>
      <c r="E20" s="344"/>
      <c r="F20" s="474"/>
      <c r="G20" s="513"/>
      <c r="H20" s="344"/>
      <c r="I20" s="344"/>
      <c r="J20" s="474"/>
      <c r="K20" s="587">
        <v>97</v>
      </c>
      <c r="L20" s="344">
        <v>88</v>
      </c>
      <c r="M20" s="344"/>
      <c r="N20" s="474"/>
    </row>
    <row r="21" spans="2:14" x14ac:dyDescent="0.25">
      <c r="C21" s="513"/>
      <c r="D21" s="344"/>
      <c r="E21" s="344"/>
      <c r="F21" s="474"/>
      <c r="G21" s="513"/>
      <c r="H21" s="344"/>
      <c r="I21" s="344"/>
      <c r="J21" s="474"/>
      <c r="K21" s="513"/>
      <c r="L21" s="344"/>
      <c r="M21" s="344"/>
      <c r="N21" s="474"/>
    </row>
    <row r="22" spans="2:14" x14ac:dyDescent="0.25">
      <c r="C22" s="513"/>
      <c r="D22" s="344"/>
      <c r="E22" s="344"/>
      <c r="F22" s="474"/>
      <c r="G22" s="513"/>
      <c r="H22" s="344"/>
      <c r="I22" s="344"/>
      <c r="J22" s="474"/>
      <c r="K22" s="513"/>
      <c r="L22" s="344"/>
      <c r="M22" s="344"/>
      <c r="N22" s="474"/>
    </row>
    <row r="23" spans="2:14" x14ac:dyDescent="0.25">
      <c r="B23" s="296" t="s">
        <v>135</v>
      </c>
      <c r="C23" s="513"/>
      <c r="D23" s="344"/>
      <c r="E23" s="344"/>
      <c r="F23" s="474"/>
      <c r="G23" s="513"/>
      <c r="H23" s="344"/>
      <c r="I23" s="344"/>
      <c r="J23" s="474"/>
      <c r="K23" s="513"/>
      <c r="L23" s="344"/>
      <c r="M23" s="344"/>
      <c r="N23" s="474"/>
    </row>
    <row r="24" spans="2:14" x14ac:dyDescent="0.25">
      <c r="B24" s="321" t="s">
        <v>66</v>
      </c>
      <c r="C24" s="438">
        <v>333</v>
      </c>
      <c r="D24" s="344">
        <v>1933</v>
      </c>
      <c r="E24" s="344">
        <v>1908</v>
      </c>
      <c r="F24" s="474">
        <v>2132</v>
      </c>
      <c r="G24" s="438">
        <v>2126</v>
      </c>
      <c r="H24" s="344">
        <v>2662</v>
      </c>
      <c r="I24" s="344">
        <v>2835</v>
      </c>
      <c r="J24" s="474">
        <v>5505</v>
      </c>
      <c r="K24" s="438">
        <f>2263+6725</f>
        <v>8988</v>
      </c>
      <c r="L24" s="344">
        <v>8907</v>
      </c>
      <c r="M24" s="344"/>
      <c r="N24" s="474"/>
    </row>
    <row r="25" spans="2:14" x14ac:dyDescent="0.25">
      <c r="B25" s="250" t="s">
        <v>132</v>
      </c>
      <c r="C25" s="361">
        <v>-295</v>
      </c>
      <c r="D25" s="417">
        <v>-1962</v>
      </c>
      <c r="E25" s="417">
        <v>-1757</v>
      </c>
      <c r="F25" s="431">
        <v>-2018</v>
      </c>
      <c r="G25" s="361">
        <v>-1999</v>
      </c>
      <c r="H25" s="417">
        <v>-2445</v>
      </c>
      <c r="I25" s="417">
        <v>-2555</v>
      </c>
      <c r="J25" s="431">
        <v>-4935</v>
      </c>
      <c r="K25" s="361">
        <f>-1949-5430</f>
        <v>-7379</v>
      </c>
      <c r="L25" s="417">
        <v>-7821</v>
      </c>
      <c r="M25" s="417"/>
      <c r="N25" s="431"/>
    </row>
    <row r="26" spans="2:14" x14ac:dyDescent="0.25">
      <c r="B26" s="250"/>
      <c r="C26" s="457">
        <f t="shared" ref="C26:F26" si="0">+C24+C25</f>
        <v>38</v>
      </c>
      <c r="D26" s="458">
        <f t="shared" si="0"/>
        <v>-29</v>
      </c>
      <c r="E26" s="458">
        <f t="shared" si="0"/>
        <v>151</v>
      </c>
      <c r="F26" s="459">
        <f t="shared" si="0"/>
        <v>114</v>
      </c>
      <c r="G26" s="457">
        <f t="shared" ref="G26:J26" si="1">+G24+G25</f>
        <v>127</v>
      </c>
      <c r="H26" s="458">
        <f t="shared" si="1"/>
        <v>217</v>
      </c>
      <c r="I26" s="458">
        <f t="shared" si="1"/>
        <v>280</v>
      </c>
      <c r="J26" s="459">
        <f t="shared" si="1"/>
        <v>570</v>
      </c>
      <c r="K26" s="457">
        <f t="shared" ref="K26:N26" si="2">+K24+K25</f>
        <v>1609</v>
      </c>
      <c r="L26" s="458">
        <f t="shared" si="2"/>
        <v>1086</v>
      </c>
      <c r="M26" s="458">
        <f t="shared" si="2"/>
        <v>0</v>
      </c>
      <c r="N26" s="459">
        <f t="shared" si="2"/>
        <v>0</v>
      </c>
    </row>
    <row r="27" spans="2:14" x14ac:dyDescent="0.25">
      <c r="B27" s="250" t="s">
        <v>67</v>
      </c>
      <c r="C27" s="213">
        <v>-18</v>
      </c>
      <c r="D27" s="214">
        <v>-53</v>
      </c>
      <c r="E27" s="214">
        <v>-50</v>
      </c>
      <c r="F27" s="259">
        <v>-50</v>
      </c>
      <c r="G27" s="213">
        <v>-52</v>
      </c>
      <c r="H27" s="214">
        <v>-51</v>
      </c>
      <c r="I27" s="214">
        <v>-50</v>
      </c>
      <c r="J27" s="259">
        <v>-84</v>
      </c>
      <c r="K27" s="213">
        <v>-81</v>
      </c>
      <c r="L27" s="214">
        <v>-99</v>
      </c>
      <c r="M27" s="214"/>
      <c r="N27" s="259"/>
    </row>
    <row r="28" spans="2:14" x14ac:dyDescent="0.25">
      <c r="B28" s="250" t="s">
        <v>68</v>
      </c>
      <c r="C28" s="213">
        <v>70</v>
      </c>
      <c r="D28" s="214">
        <v>-8</v>
      </c>
      <c r="E28" s="214">
        <v>-78</v>
      </c>
      <c r="F28" s="259">
        <v>-165</v>
      </c>
      <c r="G28" s="213">
        <v>-128</v>
      </c>
      <c r="H28" s="214">
        <v>-61</v>
      </c>
      <c r="I28" s="214">
        <v>-258</v>
      </c>
      <c r="J28" s="259">
        <v>-793</v>
      </c>
      <c r="K28" s="213">
        <v>-197</v>
      </c>
      <c r="L28" s="214">
        <v>413</v>
      </c>
      <c r="M28" s="214"/>
      <c r="N28" s="259"/>
    </row>
    <row r="29" spans="2:14" x14ac:dyDescent="0.25">
      <c r="B29" s="250" t="s">
        <v>179</v>
      </c>
      <c r="C29" s="683">
        <v>0</v>
      </c>
      <c r="D29" s="684">
        <v>0</v>
      </c>
      <c r="E29" s="684">
        <v>0</v>
      </c>
      <c r="F29" s="685">
        <v>0</v>
      </c>
      <c r="G29" s="683">
        <v>0</v>
      </c>
      <c r="H29" s="684">
        <v>0</v>
      </c>
      <c r="I29" s="684">
        <v>0</v>
      </c>
      <c r="J29" s="685">
        <v>0</v>
      </c>
      <c r="K29" s="683">
        <v>0</v>
      </c>
      <c r="L29" s="684">
        <v>0</v>
      </c>
      <c r="M29" s="684"/>
      <c r="N29" s="685"/>
    </row>
    <row r="30" spans="2:14" x14ac:dyDescent="0.25">
      <c r="B30" s="250" t="s">
        <v>69</v>
      </c>
      <c r="C30" s="438">
        <v>73</v>
      </c>
      <c r="D30" s="344">
        <v>28</v>
      </c>
      <c r="E30" s="417">
        <v>-7</v>
      </c>
      <c r="F30" s="431">
        <v>-66</v>
      </c>
      <c r="G30" s="438">
        <v>23</v>
      </c>
      <c r="H30" s="417">
        <v>-37</v>
      </c>
      <c r="I30" s="417">
        <v>51</v>
      </c>
      <c r="J30" s="431">
        <v>40</v>
      </c>
      <c r="K30" s="417">
        <v>-243</v>
      </c>
      <c r="L30" s="417">
        <v>-150</v>
      </c>
      <c r="M30" s="417"/>
      <c r="N30" s="431"/>
    </row>
    <row r="31" spans="2:14" ht="15.75" thickBot="1" x14ac:dyDescent="0.3">
      <c r="B31" s="303" t="s">
        <v>70</v>
      </c>
      <c r="C31" s="578">
        <f>SUM(C26:C30)</f>
        <v>163</v>
      </c>
      <c r="D31" s="579">
        <f>SUM(D26:D30)</f>
        <v>-62</v>
      </c>
      <c r="E31" s="579">
        <f t="shared" ref="E31:F31" si="3">SUM(E26:E30)</f>
        <v>16</v>
      </c>
      <c r="F31" s="584">
        <f t="shared" si="3"/>
        <v>-167</v>
      </c>
      <c r="G31" s="578">
        <f>SUM(G26:G30)</f>
        <v>-30</v>
      </c>
      <c r="H31" s="579">
        <f t="shared" ref="H31:J31" si="4">SUM(H26:H30)</f>
        <v>68</v>
      </c>
      <c r="I31" s="579">
        <f t="shared" si="4"/>
        <v>23</v>
      </c>
      <c r="J31" s="584">
        <f t="shared" si="4"/>
        <v>-267</v>
      </c>
      <c r="K31" s="578">
        <f>SUM(K26:K30)</f>
        <v>1088</v>
      </c>
      <c r="L31" s="579">
        <f t="shared" ref="L31:N31" si="5">SUM(L26:L30)</f>
        <v>1250</v>
      </c>
      <c r="M31" s="579">
        <f t="shared" si="5"/>
        <v>0</v>
      </c>
      <c r="N31" s="584">
        <f t="shared" si="5"/>
        <v>0</v>
      </c>
    </row>
    <row r="32" spans="2:14" ht="15.75" thickTop="1" x14ac:dyDescent="0.25">
      <c r="C32" s="438"/>
      <c r="D32" s="344"/>
      <c r="E32" s="344"/>
      <c r="F32" s="474"/>
      <c r="G32" s="438"/>
      <c r="H32" s="344"/>
      <c r="I32" s="344"/>
      <c r="J32" s="474"/>
      <c r="K32" s="438"/>
      <c r="L32" s="344"/>
      <c r="M32" s="344"/>
      <c r="N32" s="474"/>
    </row>
    <row r="33" spans="2:14" x14ac:dyDescent="0.25">
      <c r="B33" s="296" t="s">
        <v>134</v>
      </c>
      <c r="C33" s="438"/>
      <c r="D33" s="344"/>
      <c r="E33" s="344"/>
      <c r="F33" s="474"/>
      <c r="G33" s="438"/>
      <c r="H33" s="344"/>
      <c r="I33" s="344"/>
      <c r="J33" s="474"/>
      <c r="K33" s="438"/>
      <c r="L33" s="344"/>
      <c r="M33" s="344"/>
      <c r="N33" s="474"/>
    </row>
    <row r="34" spans="2:14" x14ac:dyDescent="0.25">
      <c r="B34" s="208" t="s">
        <v>59</v>
      </c>
      <c r="C34" s="438"/>
      <c r="D34" s="344"/>
      <c r="E34" s="344"/>
      <c r="F34" s="474"/>
      <c r="G34" s="438"/>
      <c r="H34" s="344"/>
      <c r="I34" s="344"/>
      <c r="J34" s="474"/>
      <c r="K34" s="438"/>
      <c r="L34" s="344"/>
      <c r="M34" s="344"/>
      <c r="N34" s="474"/>
    </row>
    <row r="35" spans="2:14" x14ac:dyDescent="0.25">
      <c r="B35" s="208" t="s">
        <v>61</v>
      </c>
      <c r="C35" s="438">
        <v>1</v>
      </c>
      <c r="D35" s="344">
        <v>2</v>
      </c>
      <c r="E35" s="344">
        <v>5</v>
      </c>
      <c r="F35" s="474">
        <v>2</v>
      </c>
      <c r="G35" s="683">
        <v>0</v>
      </c>
      <c r="H35" s="684">
        <v>0</v>
      </c>
      <c r="I35" s="684">
        <v>0</v>
      </c>
      <c r="J35" s="685">
        <v>0</v>
      </c>
      <c r="K35" s="683">
        <v>0</v>
      </c>
      <c r="L35" s="684">
        <v>0</v>
      </c>
      <c r="M35" s="684"/>
      <c r="N35" s="685"/>
    </row>
    <row r="36" spans="2:14" x14ac:dyDescent="0.25">
      <c r="B36" s="208" t="s">
        <v>63</v>
      </c>
      <c r="C36" s="438"/>
      <c r="D36" s="344"/>
      <c r="E36" s="344"/>
      <c r="F36" s="474"/>
      <c r="G36" s="438"/>
      <c r="H36" s="344"/>
      <c r="I36" s="344"/>
      <c r="J36" s="474"/>
      <c r="K36" s="438"/>
      <c r="L36" s="344"/>
      <c r="M36" s="344"/>
      <c r="N36" s="474"/>
    </row>
    <row r="37" spans="2:14" x14ac:dyDescent="0.25">
      <c r="B37" s="208" t="s">
        <v>131</v>
      </c>
      <c r="C37" s="438"/>
      <c r="D37" s="344"/>
      <c r="E37" s="344"/>
      <c r="F37" s="474"/>
      <c r="G37" s="438">
        <v>4</v>
      </c>
      <c r="H37" s="344">
        <v>8</v>
      </c>
      <c r="I37" s="344">
        <v>4</v>
      </c>
      <c r="J37" s="474">
        <v>30</v>
      </c>
      <c r="K37" s="438">
        <f>3+12</f>
        <v>15</v>
      </c>
      <c r="L37" s="344">
        <v>17</v>
      </c>
      <c r="M37" s="344"/>
      <c r="N37" s="474"/>
    </row>
    <row r="38" spans="2:14" x14ac:dyDescent="0.25">
      <c r="B38" s="1" t="s">
        <v>64</v>
      </c>
      <c r="C38" s="576">
        <f>SUM(C34:C37)</f>
        <v>1</v>
      </c>
      <c r="D38" s="577">
        <f>SUM(D34:D37)</f>
        <v>2</v>
      </c>
      <c r="E38" s="577">
        <f>SUM(E34:E37)</f>
        <v>5</v>
      </c>
      <c r="F38" s="585">
        <f>SUM(F34:F37)</f>
        <v>2</v>
      </c>
      <c r="G38" s="576">
        <f>SUM(G34:G37)</f>
        <v>4</v>
      </c>
      <c r="H38" s="577">
        <f t="shared" ref="H38:J38" si="6">SUM(H34:H37)</f>
        <v>8</v>
      </c>
      <c r="I38" s="577">
        <f t="shared" si="6"/>
        <v>4</v>
      </c>
      <c r="J38" s="585">
        <f t="shared" si="6"/>
        <v>30</v>
      </c>
      <c r="K38" s="576">
        <f>SUM(K34:K37)</f>
        <v>15</v>
      </c>
      <c r="L38" s="577">
        <f t="shared" ref="L38:N38" si="7">SUM(L34:L37)</f>
        <v>17</v>
      </c>
      <c r="M38" s="577">
        <f t="shared" si="7"/>
        <v>0</v>
      </c>
      <c r="N38" s="585">
        <f t="shared" si="7"/>
        <v>0</v>
      </c>
    </row>
    <row r="42" spans="2:14" x14ac:dyDescent="0.25">
      <c r="B42" s="208" t="s">
        <v>268</v>
      </c>
    </row>
    <row r="43" spans="2:14" x14ac:dyDescent="0.25">
      <c r="B43" s="208" t="s">
        <v>273</v>
      </c>
    </row>
    <row r="44" spans="2:14" x14ac:dyDescent="0.25">
      <c r="B44" s="208" t="s">
        <v>276</v>
      </c>
    </row>
  </sheetData>
  <mergeCells count="2">
    <mergeCell ref="G2:J2"/>
    <mergeCell ref="K2:N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fa523f9-1578-4c36-aff0-8b986e0ab6cf}" enabled="1" method="Standard" siteId="{afb4beca-a5b0-45b1-ad0f-0b897faceca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GOLD Qrt</vt:lpstr>
      <vt:lpstr>SA Gold ops</vt:lpstr>
      <vt:lpstr>PLAT Qrt</vt:lpstr>
      <vt:lpstr> SA PGM ops</vt:lpstr>
      <vt:lpstr> US PGM ops</vt:lpstr>
      <vt:lpstr>EUROPE ops</vt:lpstr>
      <vt:lpstr>NCR Qrt</vt:lpstr>
      <vt:lpstr>AUSTRALIAN ops</vt:lpstr>
      <vt:lpstr>RECYCLING ops</vt:lpstr>
      <vt:lpstr>' SA PGM ops'!Print_Area</vt:lpstr>
      <vt:lpstr>' US PGM ops'!Print_Area</vt:lpstr>
      <vt:lpstr>'GOLD Qrt'!Print_Area</vt:lpstr>
      <vt:lpstr>'NCR Qrt'!Print_Area</vt:lpstr>
      <vt:lpstr>'PLAT Qrt'!Print_Area</vt:lpstr>
      <vt:lpstr>'SA Gold ops'!Print_Area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Wellsted</dc:creator>
  <cp:lastModifiedBy>Eileen Coetzee</cp:lastModifiedBy>
  <cp:lastPrinted>2022-05-03T18:47:20Z</cp:lastPrinted>
  <dcterms:created xsi:type="dcterms:W3CDTF">2014-07-28T09:38:52Z</dcterms:created>
  <dcterms:modified xsi:type="dcterms:W3CDTF">2026-08-22T13:22:39Z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Historical stats Sibanye-Stillwater - 2018 Q4.xlsx</vt:lpwstr>
  </property>
  <property fmtid="{D5CDD505-2E9C-101B-9397-08002B2CF9AE}" pid="3" name="MSIP_Label_6fa523f9-1578-4c36-aff0-8b986e0ab6cf_Enabled">
    <vt:lpwstr>true</vt:lpwstr>
  </property>
  <property fmtid="{D5CDD505-2E9C-101B-9397-08002B2CF9AE}" pid="4" name="MSIP_Label_6fa523f9-1578-4c36-aff0-8b986e0ab6cf_SetDate">
    <vt:lpwstr>2023-02-24T16:43:36Z</vt:lpwstr>
  </property>
  <property fmtid="{D5CDD505-2E9C-101B-9397-08002B2CF9AE}" pid="5" name="MSIP_Label_6fa523f9-1578-4c36-aff0-8b986e0ab6cf_Method">
    <vt:lpwstr>Standard</vt:lpwstr>
  </property>
  <property fmtid="{D5CDD505-2E9C-101B-9397-08002B2CF9AE}" pid="6" name="MSIP_Label_6fa523f9-1578-4c36-aff0-8b986e0ab6cf_Name">
    <vt:lpwstr>Company confidential – internal use only</vt:lpwstr>
  </property>
  <property fmtid="{D5CDD505-2E9C-101B-9397-08002B2CF9AE}" pid="7" name="MSIP_Label_6fa523f9-1578-4c36-aff0-8b986e0ab6cf_SiteId">
    <vt:lpwstr>afb4beca-a5b0-45b1-ad0f-0b897faceca8</vt:lpwstr>
  </property>
  <property fmtid="{D5CDD505-2E9C-101B-9397-08002B2CF9AE}" pid="8" name="MSIP_Label_6fa523f9-1578-4c36-aff0-8b986e0ab6cf_ActionId">
    <vt:lpwstr>30b4ae00-732f-4f51-8a72-f0d5aed95912</vt:lpwstr>
  </property>
  <property fmtid="{D5CDD505-2E9C-101B-9397-08002B2CF9AE}" pid="9" name="MSIP_Label_6fa523f9-1578-4c36-aff0-8b986e0ab6cf_ContentBits">
    <vt:lpwstr>0</vt:lpwstr>
  </property>
</Properties>
</file>