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9555" windowHeight="10170"/>
  </bookViews>
  <sheets>
    <sheet name="Sibanyehistory (2)" sheetId="1" r:id="rId1"/>
  </sheets>
  <calcPr calcId="145621"/>
</workbook>
</file>

<file path=xl/calcChain.xml><?xml version="1.0" encoding="utf-8"?>
<calcChain xmlns="http://schemas.openxmlformats.org/spreadsheetml/2006/main">
  <c r="BF241" i="1" l="1"/>
  <c r="BF236" i="1"/>
  <c r="BF235" i="1"/>
  <c r="BF234" i="1"/>
  <c r="BF180" i="1"/>
  <c r="BF134" i="1"/>
  <c r="BF132" i="1"/>
  <c r="BF90" i="1"/>
  <c r="BF83" i="1"/>
  <c r="BF81" i="1"/>
  <c r="BF34" i="1"/>
  <c r="BF32" i="1"/>
  <c r="BF244" i="1"/>
  <c r="BF243" i="1" s="1"/>
  <c r="BF225" i="1"/>
  <c r="BF224" i="1"/>
  <c r="BF220" i="1"/>
  <c r="BF219" i="1"/>
  <c r="BF218" i="1"/>
  <c r="BF211" i="1"/>
  <c r="BF210" i="1"/>
  <c r="BF203" i="1"/>
  <c r="BF215" i="1" s="1"/>
  <c r="BF202" i="1"/>
  <c r="BF214" i="1" s="1"/>
  <c r="BF200" i="1"/>
  <c r="BF199" i="1"/>
  <c r="BF178" i="1"/>
  <c r="BF183" i="1" s="1"/>
  <c r="BF173" i="1"/>
  <c r="BF164" i="1"/>
  <c r="BF186" i="1" s="1"/>
  <c r="BF159" i="1"/>
  <c r="BF158" i="1"/>
  <c r="BF156" i="1"/>
  <c r="BF168" i="1" s="1"/>
  <c r="BF130" i="1"/>
  <c r="BF135" i="1" s="1"/>
  <c r="BF125" i="1"/>
  <c r="BF116" i="1"/>
  <c r="BF111" i="1"/>
  <c r="BF110" i="1"/>
  <c r="BF108" i="1"/>
  <c r="BF120" i="1" s="1"/>
  <c r="BF97" i="1"/>
  <c r="BF96" i="1" s="1"/>
  <c r="BF94" i="1"/>
  <c r="BF79" i="1"/>
  <c r="BF84" i="1" s="1"/>
  <c r="BF74" i="1"/>
  <c r="BF65" i="1"/>
  <c r="BF87" i="1" s="1"/>
  <c r="BF88" i="1" s="1"/>
  <c r="BF60" i="1"/>
  <c r="BF59" i="1"/>
  <c r="BF57" i="1"/>
  <c r="BF69" i="1" s="1"/>
  <c r="BF47" i="1"/>
  <c r="BF45" i="1"/>
  <c r="BF41" i="1"/>
  <c r="BF30" i="1"/>
  <c r="BF35" i="1" s="1"/>
  <c r="BF25" i="1"/>
  <c r="BF16" i="1"/>
  <c r="BF38" i="1" s="1"/>
  <c r="BF39" i="1" s="1"/>
  <c r="BF11" i="1"/>
  <c r="BF10" i="1"/>
  <c r="BF8" i="1"/>
  <c r="BF20" i="1" s="1"/>
  <c r="BF160" i="1" l="1"/>
  <c r="BF112" i="1"/>
  <c r="BF206" i="1"/>
  <c r="BF221" i="1"/>
  <c r="BF12" i="1"/>
  <c r="BF207" i="1"/>
  <c r="BF148" i="1"/>
  <c r="BF204" i="1"/>
  <c r="BF216" i="1" s="1"/>
  <c r="BF212" i="1"/>
  <c r="BF226" i="1"/>
  <c r="BF61" i="1"/>
  <c r="BF138" i="1"/>
  <c r="BF139" i="1" s="1"/>
  <c r="BE253" i="1"/>
  <c r="BE254" i="1"/>
  <c r="BE236" i="1"/>
  <c r="BE235" i="1"/>
  <c r="BE234" i="1"/>
  <c r="BE186" i="1"/>
  <c r="BE96" i="1"/>
  <c r="BE90" i="1"/>
  <c r="BE141" i="1"/>
  <c r="BE134" i="1"/>
  <c r="BE87" i="1"/>
  <c r="BE38" i="1"/>
  <c r="BE34" i="1"/>
  <c r="BF253" i="1" l="1"/>
  <c r="BF254" i="1" s="1"/>
  <c r="BF208" i="1"/>
  <c r="BF196" i="1"/>
  <c r="BF147" i="1"/>
  <c r="BF141" i="1"/>
  <c r="BF145" i="1"/>
  <c r="BF237" i="1"/>
  <c r="BE244" i="1"/>
  <c r="BE243" i="1" s="1"/>
  <c r="BE241" i="1"/>
  <c r="BE220" i="1"/>
  <c r="BE219" i="1"/>
  <c r="BE218" i="1"/>
  <c r="BE211" i="1"/>
  <c r="BE210" i="1"/>
  <c r="BE203" i="1"/>
  <c r="BE215" i="1" s="1"/>
  <c r="BE202" i="1"/>
  <c r="BE200" i="1"/>
  <c r="BE199" i="1"/>
  <c r="BE178" i="1"/>
  <c r="BE183" i="1" s="1"/>
  <c r="BE173" i="1"/>
  <c r="BE164" i="1"/>
  <c r="BE159" i="1"/>
  <c r="BE158" i="1"/>
  <c r="BE156" i="1"/>
  <c r="BE168" i="1" s="1"/>
  <c r="BE225" i="1"/>
  <c r="BE125" i="1"/>
  <c r="BE116" i="1"/>
  <c r="BE111" i="1"/>
  <c r="BE110" i="1"/>
  <c r="BE108" i="1"/>
  <c r="BE120" i="1" s="1"/>
  <c r="BE97" i="1"/>
  <c r="BE148" i="1" s="1"/>
  <c r="BE79" i="1"/>
  <c r="BE84" i="1" s="1"/>
  <c r="BE74" i="1"/>
  <c r="BE65" i="1"/>
  <c r="BE60" i="1"/>
  <c r="BE59" i="1"/>
  <c r="BE57" i="1"/>
  <c r="BE69" i="1" s="1"/>
  <c r="BE47" i="1"/>
  <c r="BE45" i="1"/>
  <c r="BE41" i="1"/>
  <c r="BE30" i="1"/>
  <c r="BE35" i="1" s="1"/>
  <c r="BE25" i="1"/>
  <c r="BE16" i="1"/>
  <c r="BE11" i="1"/>
  <c r="BE10" i="1"/>
  <c r="BE8" i="1"/>
  <c r="BE20" i="1" s="1"/>
  <c r="BF193" i="1" l="1"/>
  <c r="BF195" i="1"/>
  <c r="BF189" i="1"/>
  <c r="BF187" i="1"/>
  <c r="BE206" i="1"/>
  <c r="BE187" i="1"/>
  <c r="BE160" i="1"/>
  <c r="BE138" i="1"/>
  <c r="BE112" i="1"/>
  <c r="BE221" i="1"/>
  <c r="BE88" i="1"/>
  <c r="BE61" i="1"/>
  <c r="BE94" i="1"/>
  <c r="BE39" i="1"/>
  <c r="BE207" i="1"/>
  <c r="BE214" i="1"/>
  <c r="BE12" i="1"/>
  <c r="BE204" i="1"/>
  <c r="BE216" i="1" s="1"/>
  <c r="BE196" i="1"/>
  <c r="BE147" i="1"/>
  <c r="BE145" i="1"/>
  <c r="BE139" i="1"/>
  <c r="BE212" i="1"/>
  <c r="BE224" i="1"/>
  <c r="BE130" i="1"/>
  <c r="BE135" i="1" s="1"/>
  <c r="AW238" i="1"/>
  <c r="BA241" i="1"/>
  <c r="BB234" i="1"/>
  <c r="BD236" i="1"/>
  <c r="BD234" i="1"/>
  <c r="BD214" i="1"/>
  <c r="BD216" i="1"/>
  <c r="BD180" i="1"/>
  <c r="BD182" i="1"/>
  <c r="BD181" i="1"/>
  <c r="BD179" i="1"/>
  <c r="BD177" i="1"/>
  <c r="BD176" i="1"/>
  <c r="BD141" i="1"/>
  <c r="BD132" i="1"/>
  <c r="BD134" i="1"/>
  <c r="BD133" i="1"/>
  <c r="BD131" i="1"/>
  <c r="BD129" i="1"/>
  <c r="BD128" i="1"/>
  <c r="BD96" i="1"/>
  <c r="BD87" i="1"/>
  <c r="BD81" i="1"/>
  <c r="BD83" i="1"/>
  <c r="BD82" i="1"/>
  <c r="BD80" i="1"/>
  <c r="BD78" i="1"/>
  <c r="BD77" i="1"/>
  <c r="BD69" i="1"/>
  <c r="BD38" i="1"/>
  <c r="BD32" i="1"/>
  <c r="BD34" i="1"/>
  <c r="BD33" i="1"/>
  <c r="BD31" i="1"/>
  <c r="BD29" i="1"/>
  <c r="BD28" i="1"/>
  <c r="BD20" i="1"/>
  <c r="BE208" i="1" l="1"/>
  <c r="BE226" i="1"/>
  <c r="BE237" i="1"/>
  <c r="BE193" i="1"/>
  <c r="BE195" i="1"/>
  <c r="BE189" i="1"/>
  <c r="BD244" i="1"/>
  <c r="BD225" i="1"/>
  <c r="BD224" i="1"/>
  <c r="BD220" i="1"/>
  <c r="BD219" i="1"/>
  <c r="BD218" i="1"/>
  <c r="BD211" i="1"/>
  <c r="BD210" i="1"/>
  <c r="BD203" i="1"/>
  <c r="BD215" i="1" s="1"/>
  <c r="BD202" i="1"/>
  <c r="BD200" i="1"/>
  <c r="BD199" i="1"/>
  <c r="BD178" i="1"/>
  <c r="BD183" i="1" s="1"/>
  <c r="BD173" i="1"/>
  <c r="BD164" i="1"/>
  <c r="BD186" i="1" s="1"/>
  <c r="BD159" i="1"/>
  <c r="BD158" i="1"/>
  <c r="BD156" i="1"/>
  <c r="BD168" i="1" s="1"/>
  <c r="BD130" i="1"/>
  <c r="BD135" i="1" s="1"/>
  <c r="BD125" i="1"/>
  <c r="BD116" i="1"/>
  <c r="BD138" i="1" s="1"/>
  <c r="BD111" i="1"/>
  <c r="BD110" i="1"/>
  <c r="BD108" i="1"/>
  <c r="BD120" i="1" s="1"/>
  <c r="BD97" i="1"/>
  <c r="BD148" i="1" s="1"/>
  <c r="BD90" i="1"/>
  <c r="BD79" i="1"/>
  <c r="BD84" i="1" s="1"/>
  <c r="BD74" i="1"/>
  <c r="BD65" i="1"/>
  <c r="BD60" i="1"/>
  <c r="BD59" i="1"/>
  <c r="BD57" i="1"/>
  <c r="BD47" i="1"/>
  <c r="BD45" i="1"/>
  <c r="BD41" i="1"/>
  <c r="BD30" i="1"/>
  <c r="BD35" i="1" s="1"/>
  <c r="BD25" i="1"/>
  <c r="BD16" i="1"/>
  <c r="BD11" i="1"/>
  <c r="BD10" i="1"/>
  <c r="BD8" i="1"/>
  <c r="BD112" i="1" l="1"/>
  <c r="BD61" i="1"/>
  <c r="BD88" i="1"/>
  <c r="BD221" i="1"/>
  <c r="BD207" i="1"/>
  <c r="BD12" i="1"/>
  <c r="BD204" i="1"/>
  <c r="BD206" i="1"/>
  <c r="BD196" i="1"/>
  <c r="BD147" i="1"/>
  <c r="BD145" i="1"/>
  <c r="BD139" i="1"/>
  <c r="BD187" i="1"/>
  <c r="BD39" i="1"/>
  <c r="BD94" i="1"/>
  <c r="BD160" i="1"/>
  <c r="BD212" i="1"/>
  <c r="BD208" i="1" s="1"/>
  <c r="BD226" i="1"/>
  <c r="BD237" i="1"/>
  <c r="BC216" i="1"/>
  <c r="BC214" i="1"/>
  <c r="BC69" i="1"/>
  <c r="BD241" i="1" l="1"/>
  <c r="BD243" i="1"/>
  <c r="BD193" i="1"/>
  <c r="BD195" i="1"/>
  <c r="BD189" i="1"/>
  <c r="BC97" i="1"/>
  <c r="BC34" i="1"/>
  <c r="BC20" i="1"/>
  <c r="BD253" i="1" l="1"/>
  <c r="BD254" i="1" s="1"/>
  <c r="BD235" i="1"/>
  <c r="BC120" i="1"/>
  <c r="BC244" i="1"/>
  <c r="BC225" i="1"/>
  <c r="BC224" i="1"/>
  <c r="BC234" i="1" s="1"/>
  <c r="BC220" i="1"/>
  <c r="BC219" i="1"/>
  <c r="BC218" i="1"/>
  <c r="BC211" i="1"/>
  <c r="BC203" i="1"/>
  <c r="BC215" i="1" s="1"/>
  <c r="BC200" i="1"/>
  <c r="BC199" i="1"/>
  <c r="BC178" i="1"/>
  <c r="BC183" i="1" s="1"/>
  <c r="BC173" i="1"/>
  <c r="BC164" i="1"/>
  <c r="BC186" i="1" s="1"/>
  <c r="BC210" i="1"/>
  <c r="BC159" i="1"/>
  <c r="BC130" i="1"/>
  <c r="BC135" i="1" s="1"/>
  <c r="BC125" i="1"/>
  <c r="BC116" i="1"/>
  <c r="BC111" i="1"/>
  <c r="BC110" i="1"/>
  <c r="BC108" i="1"/>
  <c r="BC148" i="1"/>
  <c r="BC95" i="1"/>
  <c r="BC96" i="1" s="1"/>
  <c r="BC94" i="1"/>
  <c r="BC90" i="1"/>
  <c r="BC79" i="1"/>
  <c r="BC84" i="1" s="1"/>
  <c r="BC74" i="1"/>
  <c r="BC65" i="1"/>
  <c r="BC87" i="1" s="1"/>
  <c r="BC88" i="1" s="1"/>
  <c r="BC60" i="1"/>
  <c r="BC59" i="1"/>
  <c r="BC57" i="1"/>
  <c r="BC47" i="1"/>
  <c r="BC45" i="1"/>
  <c r="BC41" i="1"/>
  <c r="BC30" i="1"/>
  <c r="BC35" i="1" s="1"/>
  <c r="BC25" i="1"/>
  <c r="BC16" i="1"/>
  <c r="BC11" i="1"/>
  <c r="BC10" i="1"/>
  <c r="BC8" i="1"/>
  <c r="BC12" i="1" l="1"/>
  <c r="BC207" i="1"/>
  <c r="BC61" i="1"/>
  <c r="BC226" i="1"/>
  <c r="BC221" i="1"/>
  <c r="BC196" i="1"/>
  <c r="BC187" i="1" s="1"/>
  <c r="BC147" i="1"/>
  <c r="BC141" i="1"/>
  <c r="BC145" i="1"/>
  <c r="BC38" i="1"/>
  <c r="BC39" i="1" s="1"/>
  <c r="BC112" i="1"/>
  <c r="BC156" i="1"/>
  <c r="BC160" i="1" s="1"/>
  <c r="BC202" i="1"/>
  <c r="BC206" i="1" s="1"/>
  <c r="BC212" i="1"/>
  <c r="BC241" i="1" s="1"/>
  <c r="BC138" i="1"/>
  <c r="BC139" i="1" s="1"/>
  <c r="BC158" i="1"/>
  <c r="AZ103" i="1"/>
  <c r="BC168" i="1" l="1"/>
  <c r="BC236" i="1"/>
  <c r="BC237" i="1" s="1"/>
  <c r="BC243" i="1"/>
  <c r="BC193" i="1"/>
  <c r="BC195" i="1"/>
  <c r="BC189" i="1"/>
  <c r="BC204" i="1"/>
  <c r="BB12" i="1"/>
  <c r="BA12" i="1"/>
  <c r="AZ12" i="1"/>
  <c r="BB11" i="1"/>
  <c r="BA11" i="1"/>
  <c r="AZ11" i="1"/>
  <c r="BB10" i="1"/>
  <c r="BA10" i="1"/>
  <c r="AZ10" i="1"/>
  <c r="BB61" i="1"/>
  <c r="BA61" i="1"/>
  <c r="AZ61" i="1"/>
  <c r="BB60" i="1"/>
  <c r="BA60" i="1"/>
  <c r="AZ60" i="1"/>
  <c r="BB59" i="1"/>
  <c r="BA59" i="1"/>
  <c r="AZ59" i="1"/>
  <c r="BB112" i="1"/>
  <c r="BA112" i="1"/>
  <c r="AZ112" i="1"/>
  <c r="BB111" i="1"/>
  <c r="BA111" i="1"/>
  <c r="AZ111" i="1"/>
  <c r="BB110" i="1"/>
  <c r="BA110" i="1"/>
  <c r="AZ110" i="1"/>
  <c r="BB160" i="1"/>
  <c r="BA160" i="1"/>
  <c r="AZ160" i="1"/>
  <c r="BB159" i="1"/>
  <c r="BA159" i="1"/>
  <c r="AZ159" i="1"/>
  <c r="BB158" i="1"/>
  <c r="BA158" i="1"/>
  <c r="AZ158" i="1"/>
  <c r="BC208" i="1" l="1"/>
  <c r="BC253" i="1"/>
  <c r="BC254" i="1" s="1"/>
  <c r="BC235" i="1"/>
  <c r="BB220" i="1"/>
  <c r="BB219" i="1"/>
  <c r="BA215" i="1"/>
  <c r="BA214" i="1"/>
  <c r="BB216" i="1"/>
  <c r="BB193" i="1"/>
  <c r="BA193" i="1"/>
  <c r="BB195" i="1"/>
  <c r="BA195" i="1"/>
  <c r="BB187" i="1"/>
  <c r="BA187" i="1"/>
  <c r="BB189" i="1"/>
  <c r="BB168" i="1"/>
  <c r="BB162" i="1"/>
  <c r="BB154" i="1"/>
  <c r="BB120" i="1"/>
  <c r="BB134" i="1"/>
  <c r="BA83" i="1"/>
  <c r="BB83" i="1"/>
  <c r="BB69" i="1"/>
  <c r="BB34" i="1"/>
  <c r="BB47" i="1"/>
  <c r="BB45" i="1"/>
  <c r="BB41" i="1"/>
  <c r="BB30" i="1"/>
  <c r="BB35" i="1" s="1"/>
  <c r="BB25" i="1"/>
  <c r="BB16" i="1"/>
  <c r="BB8" i="1"/>
  <c r="BB20" i="1" s="1"/>
  <c r="BB97" i="1"/>
  <c r="BB95" i="1"/>
  <c r="BB90" i="1"/>
  <c r="BB84" i="1"/>
  <c r="BB79" i="1"/>
  <c r="BB74" i="1"/>
  <c r="BB65" i="1"/>
  <c r="BB87" i="1" s="1"/>
  <c r="BB88" i="1" s="1"/>
  <c r="BB57" i="1"/>
  <c r="BB148" i="1"/>
  <c r="BB145" i="1" s="1"/>
  <c r="BB130" i="1"/>
  <c r="BB135" i="1" s="1"/>
  <c r="BB125" i="1"/>
  <c r="BB116" i="1"/>
  <c r="BB138" i="1" s="1"/>
  <c r="BB108" i="1"/>
  <c r="BB244" i="1"/>
  <c r="BB225" i="1"/>
  <c r="BB224" i="1"/>
  <c r="BB218" i="1"/>
  <c r="BB211" i="1"/>
  <c r="BB210" i="1"/>
  <c r="BB203" i="1"/>
  <c r="BB202" i="1"/>
  <c r="BB200" i="1"/>
  <c r="BB199" i="1"/>
  <c r="BB178" i="1"/>
  <c r="BB183" i="1" s="1"/>
  <c r="BB173" i="1"/>
  <c r="BB164" i="1"/>
  <c r="BB156" i="1"/>
  <c r="BB139" i="1" l="1"/>
  <c r="BB141" i="1"/>
  <c r="BB207" i="1"/>
  <c r="BB96" i="1"/>
  <c r="BB38" i="1"/>
  <c r="BB39" i="1" s="1"/>
  <c r="BB214" i="1"/>
  <c r="BB196" i="1"/>
  <c r="BB147" i="1"/>
  <c r="BB94" i="1"/>
  <c r="BB204" i="1"/>
  <c r="BB206" i="1"/>
  <c r="BB215" i="1"/>
  <c r="BB221" i="1"/>
  <c r="BB226" i="1"/>
  <c r="BB186" i="1"/>
  <c r="BB212" i="1"/>
  <c r="BB208" i="1" l="1"/>
  <c r="BB236" i="1"/>
  <c r="BB237" i="1" s="1"/>
  <c r="BB241" i="1"/>
  <c r="BB243" i="1"/>
  <c r="BA194" i="1"/>
  <c r="BB253" i="1" l="1"/>
  <c r="BB254" i="1" s="1"/>
  <c r="BB235" i="1"/>
  <c r="BA146" i="1"/>
  <c r="BA95" i="1"/>
  <c r="C221" i="1" l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BA154" i="1"/>
  <c r="BA134" i="1"/>
  <c r="BA34" i="1"/>
  <c r="BA244" i="1" l="1"/>
  <c r="BA219" i="1"/>
  <c r="BA218" i="1"/>
  <c r="BA211" i="1"/>
  <c r="BA203" i="1"/>
  <c r="BA202" i="1"/>
  <c r="BA200" i="1"/>
  <c r="BA178" i="1"/>
  <c r="BA183" i="1" s="1"/>
  <c r="BA173" i="1"/>
  <c r="BA164" i="1"/>
  <c r="BA156" i="1"/>
  <c r="BA168" i="1" s="1"/>
  <c r="BA225" i="1"/>
  <c r="BA125" i="1"/>
  <c r="BA116" i="1"/>
  <c r="BA108" i="1"/>
  <c r="BA120" i="1" s="1"/>
  <c r="BA199" i="1"/>
  <c r="BA97" i="1"/>
  <c r="BA148" i="1" s="1"/>
  <c r="BA196" i="1" s="1"/>
  <c r="BA90" i="1"/>
  <c r="BA79" i="1"/>
  <c r="BA84" i="1" s="1"/>
  <c r="BA74" i="1"/>
  <c r="BA65" i="1"/>
  <c r="BA57" i="1"/>
  <c r="BA69" i="1" s="1"/>
  <c r="BA47" i="1"/>
  <c r="BA45" i="1"/>
  <c r="BA41" i="1"/>
  <c r="BA25" i="1"/>
  <c r="BA16" i="1"/>
  <c r="BA8" i="1"/>
  <c r="BA20" i="1" s="1"/>
  <c r="BA221" i="1" l="1"/>
  <c r="BA189" i="1"/>
  <c r="BA94" i="1"/>
  <c r="BA138" i="1"/>
  <c r="BA96" i="1"/>
  <c r="BA38" i="1"/>
  <c r="BA39" i="1" s="1"/>
  <c r="BA204" i="1"/>
  <c r="BA147" i="1"/>
  <c r="BA141" i="1"/>
  <c r="BA145" i="1"/>
  <c r="BA186" i="1"/>
  <c r="BA216" i="1"/>
  <c r="BA139" i="1"/>
  <c r="BA87" i="1"/>
  <c r="BA88" i="1" s="1"/>
  <c r="BA130" i="1"/>
  <c r="BA135" i="1" s="1"/>
  <c r="BA207" i="1"/>
  <c r="BA210" i="1"/>
  <c r="BA206" i="1" s="1"/>
  <c r="BA212" i="1"/>
  <c r="BA224" i="1"/>
  <c r="BA30" i="1"/>
  <c r="BA35" i="1" s="1"/>
  <c r="AZ148" i="1"/>
  <c r="AZ97" i="1"/>
  <c r="AZ31" i="1"/>
  <c r="BA208" i="1" l="1"/>
  <c r="BA234" i="1"/>
  <c r="BA237" i="1"/>
  <c r="BA226" i="1"/>
  <c r="BA243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AS243" i="1"/>
  <c r="AQ243" i="1"/>
  <c r="AM243" i="1"/>
  <c r="AU242" i="1"/>
  <c r="AU243" i="1" s="1"/>
  <c r="AT242" i="1"/>
  <c r="AS242" i="1"/>
  <c r="AR242" i="1"/>
  <c r="AQ242" i="1"/>
  <c r="AM242" i="1"/>
  <c r="AU241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C225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K219" i="1"/>
  <c r="AI219" i="1"/>
  <c r="AH219" i="1"/>
  <c r="AG219" i="1"/>
  <c r="AE219" i="1"/>
  <c r="AC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AZ203" i="1"/>
  <c r="AZ215" i="1" s="1"/>
  <c r="AY203" i="1"/>
  <c r="AY215" i="1" s="1"/>
  <c r="AX203" i="1"/>
  <c r="AX215" i="1" s="1"/>
  <c r="AW203" i="1"/>
  <c r="AW215" i="1" s="1"/>
  <c r="AV203" i="1"/>
  <c r="AV215" i="1" s="1"/>
  <c r="AU203" i="1"/>
  <c r="AU215" i="1" s="1"/>
  <c r="AT203" i="1"/>
  <c r="AT215" i="1" s="1"/>
  <c r="AS203" i="1"/>
  <c r="AS215" i="1" s="1"/>
  <c r="AR203" i="1"/>
  <c r="AR215" i="1" s="1"/>
  <c r="AQ203" i="1"/>
  <c r="AQ215" i="1" s="1"/>
  <c r="AP203" i="1"/>
  <c r="AP215" i="1" s="1"/>
  <c r="AO203" i="1"/>
  <c r="AO215" i="1" s="1"/>
  <c r="AN203" i="1"/>
  <c r="AN215" i="1" s="1"/>
  <c r="AM203" i="1"/>
  <c r="AM215" i="1" s="1"/>
  <c r="AL203" i="1"/>
  <c r="AL215" i="1" s="1"/>
  <c r="AK203" i="1"/>
  <c r="AK215" i="1" s="1"/>
  <c r="AJ203" i="1"/>
  <c r="AJ215" i="1" s="1"/>
  <c r="AI203" i="1"/>
  <c r="AI215" i="1" s="1"/>
  <c r="AH203" i="1"/>
  <c r="AH215" i="1" s="1"/>
  <c r="AG203" i="1"/>
  <c r="AG215" i="1" s="1"/>
  <c r="AF203" i="1"/>
  <c r="AF215" i="1" s="1"/>
  <c r="AE203" i="1"/>
  <c r="AE215" i="1" s="1"/>
  <c r="AD203" i="1"/>
  <c r="AD215" i="1" s="1"/>
  <c r="AC203" i="1"/>
  <c r="AC215" i="1" s="1"/>
  <c r="AB203" i="1"/>
  <c r="AB215" i="1" s="1"/>
  <c r="AA203" i="1"/>
  <c r="AA215" i="1" s="1"/>
  <c r="Z203" i="1"/>
  <c r="Z215" i="1" s="1"/>
  <c r="Y203" i="1"/>
  <c r="Y215" i="1" s="1"/>
  <c r="X203" i="1"/>
  <c r="X215" i="1" s="1"/>
  <c r="W203" i="1"/>
  <c r="W215" i="1" s="1"/>
  <c r="V203" i="1"/>
  <c r="V215" i="1" s="1"/>
  <c r="U203" i="1"/>
  <c r="U215" i="1" s="1"/>
  <c r="T203" i="1"/>
  <c r="T215" i="1" s="1"/>
  <c r="S203" i="1"/>
  <c r="S215" i="1" s="1"/>
  <c r="R203" i="1"/>
  <c r="R215" i="1" s="1"/>
  <c r="Q203" i="1"/>
  <c r="Q215" i="1" s="1"/>
  <c r="P203" i="1"/>
  <c r="P215" i="1" s="1"/>
  <c r="O203" i="1"/>
  <c r="O215" i="1" s="1"/>
  <c r="N203" i="1"/>
  <c r="N215" i="1" s="1"/>
  <c r="M203" i="1"/>
  <c r="M215" i="1" s="1"/>
  <c r="L203" i="1"/>
  <c r="L215" i="1" s="1"/>
  <c r="K203" i="1"/>
  <c r="K215" i="1" s="1"/>
  <c r="J203" i="1"/>
  <c r="J215" i="1" s="1"/>
  <c r="I203" i="1"/>
  <c r="I215" i="1" s="1"/>
  <c r="H203" i="1"/>
  <c r="H215" i="1" s="1"/>
  <c r="G203" i="1"/>
  <c r="G215" i="1" s="1"/>
  <c r="F203" i="1"/>
  <c r="F215" i="1" s="1"/>
  <c r="E203" i="1"/>
  <c r="E215" i="1" s="1"/>
  <c r="D203" i="1"/>
  <c r="D215" i="1" s="1"/>
  <c r="C203" i="1"/>
  <c r="C215" i="1" s="1"/>
  <c r="AZ202" i="1"/>
  <c r="AZ214" i="1" s="1"/>
  <c r="AY202" i="1"/>
  <c r="AY214" i="1" s="1"/>
  <c r="AX202" i="1"/>
  <c r="AX214" i="1" s="1"/>
  <c r="AW202" i="1"/>
  <c r="AW214" i="1" s="1"/>
  <c r="AV202" i="1"/>
  <c r="AV214" i="1" s="1"/>
  <c r="AU202" i="1"/>
  <c r="AU214" i="1" s="1"/>
  <c r="AT202" i="1"/>
  <c r="AT214" i="1" s="1"/>
  <c r="AS202" i="1"/>
  <c r="AS214" i="1" s="1"/>
  <c r="AR202" i="1"/>
  <c r="AR214" i="1" s="1"/>
  <c r="AQ202" i="1"/>
  <c r="AQ214" i="1" s="1"/>
  <c r="AP202" i="1"/>
  <c r="AP214" i="1" s="1"/>
  <c r="AO202" i="1"/>
  <c r="AO214" i="1" s="1"/>
  <c r="AN202" i="1"/>
  <c r="AN214" i="1" s="1"/>
  <c r="AM202" i="1"/>
  <c r="AM214" i="1" s="1"/>
  <c r="AL202" i="1"/>
  <c r="AL214" i="1" s="1"/>
  <c r="AK202" i="1"/>
  <c r="AK214" i="1" s="1"/>
  <c r="AJ202" i="1"/>
  <c r="AJ214" i="1" s="1"/>
  <c r="AI202" i="1"/>
  <c r="AI214" i="1" s="1"/>
  <c r="AH202" i="1"/>
  <c r="AH214" i="1" s="1"/>
  <c r="AG202" i="1"/>
  <c r="AG214" i="1" s="1"/>
  <c r="AF202" i="1"/>
  <c r="AF214" i="1" s="1"/>
  <c r="AE202" i="1"/>
  <c r="AE214" i="1" s="1"/>
  <c r="AD202" i="1"/>
  <c r="AD214" i="1" s="1"/>
  <c r="AC202" i="1"/>
  <c r="AC214" i="1" s="1"/>
  <c r="AB202" i="1"/>
  <c r="AB206" i="1" s="1"/>
  <c r="AA202" i="1"/>
  <c r="AA214" i="1" s="1"/>
  <c r="Z202" i="1"/>
  <c r="Z214" i="1" s="1"/>
  <c r="Y202" i="1"/>
  <c r="Y214" i="1" s="1"/>
  <c r="X202" i="1"/>
  <c r="X206" i="1" s="1"/>
  <c r="W202" i="1"/>
  <c r="W214" i="1" s="1"/>
  <c r="V202" i="1"/>
  <c r="V214" i="1" s="1"/>
  <c r="U202" i="1"/>
  <c r="U214" i="1" s="1"/>
  <c r="T202" i="1"/>
  <c r="T206" i="1" s="1"/>
  <c r="S202" i="1"/>
  <c r="S214" i="1" s="1"/>
  <c r="R202" i="1"/>
  <c r="R214" i="1" s="1"/>
  <c r="Q202" i="1"/>
  <c r="Q214" i="1" s="1"/>
  <c r="P202" i="1"/>
  <c r="P206" i="1" s="1"/>
  <c r="O202" i="1"/>
  <c r="O214" i="1" s="1"/>
  <c r="N202" i="1"/>
  <c r="N214" i="1" s="1"/>
  <c r="M202" i="1"/>
  <c r="M214" i="1" s="1"/>
  <c r="L202" i="1"/>
  <c r="L206" i="1" s="1"/>
  <c r="K202" i="1"/>
  <c r="K214" i="1" s="1"/>
  <c r="J202" i="1"/>
  <c r="J214" i="1" s="1"/>
  <c r="I202" i="1"/>
  <c r="I214" i="1" s="1"/>
  <c r="H202" i="1"/>
  <c r="H206" i="1" s="1"/>
  <c r="G202" i="1"/>
  <c r="G214" i="1" s="1"/>
  <c r="F202" i="1"/>
  <c r="F214" i="1" s="1"/>
  <c r="E202" i="1"/>
  <c r="E214" i="1" s="1"/>
  <c r="D202" i="1"/>
  <c r="D206" i="1" s="1"/>
  <c r="C202" i="1"/>
  <c r="C214" i="1" s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AY199" i="1"/>
  <c r="AX199" i="1"/>
  <c r="AW199" i="1"/>
  <c r="AT199" i="1"/>
  <c r="AS199" i="1"/>
  <c r="AR199" i="1"/>
  <c r="AQ199" i="1"/>
  <c r="AO199" i="1"/>
  <c r="AN199" i="1"/>
  <c r="AM199" i="1"/>
  <c r="AF199" i="1"/>
  <c r="AE199" i="1"/>
  <c r="AD199" i="1"/>
  <c r="AC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84" i="1"/>
  <c r="AZ182" i="1"/>
  <c r="AZ178" i="1"/>
  <c r="AZ183" i="1" s="1"/>
  <c r="AZ173" i="1"/>
  <c r="AZ162" i="1"/>
  <c r="AZ210" i="1" s="1"/>
  <c r="AZ206" i="1" s="1"/>
  <c r="AZ156" i="1"/>
  <c r="AZ168" i="1" s="1"/>
  <c r="AZ147" i="1"/>
  <c r="AS147" i="1"/>
  <c r="AQ147" i="1"/>
  <c r="AM147" i="1"/>
  <c r="AY146" i="1"/>
  <c r="AX146" i="1"/>
  <c r="AW146" i="1"/>
  <c r="AV146" i="1"/>
  <c r="AU146" i="1"/>
  <c r="AS146" i="1"/>
  <c r="AQ146" i="1"/>
  <c r="AM146" i="1"/>
  <c r="AZ145" i="1"/>
  <c r="AZ141" i="1"/>
  <c r="B136" i="1"/>
  <c r="AZ134" i="1"/>
  <c r="AY134" i="1"/>
  <c r="AX134" i="1"/>
  <c r="AW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Z133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L132" i="1"/>
  <c r="J132" i="1"/>
  <c r="H132" i="1"/>
  <c r="AZ131" i="1"/>
  <c r="AY130" i="1"/>
  <c r="AY135" i="1" s="1"/>
  <c r="AX130" i="1"/>
  <c r="AX135" i="1" s="1"/>
  <c r="AW130" i="1"/>
  <c r="AW135" i="1" s="1"/>
  <c r="AV130" i="1"/>
  <c r="AV135" i="1" s="1"/>
  <c r="AU130" i="1"/>
  <c r="AU135" i="1" s="1"/>
  <c r="AT130" i="1"/>
  <c r="AT135" i="1" s="1"/>
  <c r="AS130" i="1"/>
  <c r="AS135" i="1" s="1"/>
  <c r="AR130" i="1"/>
  <c r="AR135" i="1" s="1"/>
  <c r="AQ130" i="1"/>
  <c r="AQ135" i="1" s="1"/>
  <c r="AP130" i="1"/>
  <c r="AP135" i="1" s="1"/>
  <c r="AO130" i="1"/>
  <c r="AO135" i="1" s="1"/>
  <c r="AN130" i="1"/>
  <c r="AN135" i="1" s="1"/>
  <c r="AM130" i="1"/>
  <c r="AM135" i="1" s="1"/>
  <c r="AL130" i="1"/>
  <c r="AL135" i="1" s="1"/>
  <c r="AK130" i="1"/>
  <c r="AK135" i="1" s="1"/>
  <c r="AJ130" i="1"/>
  <c r="AJ135" i="1" s="1"/>
  <c r="AI130" i="1"/>
  <c r="AI135" i="1" s="1"/>
  <c r="AH130" i="1"/>
  <c r="AH135" i="1" s="1"/>
  <c r="AG130" i="1"/>
  <c r="AG135" i="1" s="1"/>
  <c r="AF130" i="1"/>
  <c r="AF135" i="1" s="1"/>
  <c r="AE130" i="1"/>
  <c r="AE135" i="1" s="1"/>
  <c r="AD130" i="1"/>
  <c r="AD135" i="1" s="1"/>
  <c r="AC130" i="1"/>
  <c r="AC135" i="1" s="1"/>
  <c r="AB130" i="1"/>
  <c r="AB135" i="1" s="1"/>
  <c r="AA130" i="1"/>
  <c r="AA135" i="1" s="1"/>
  <c r="Z130" i="1"/>
  <c r="Z135" i="1" s="1"/>
  <c r="Y130" i="1"/>
  <c r="Y135" i="1" s="1"/>
  <c r="X130" i="1"/>
  <c r="X135" i="1" s="1"/>
  <c r="W130" i="1"/>
  <c r="W135" i="1" s="1"/>
  <c r="V130" i="1"/>
  <c r="V135" i="1" s="1"/>
  <c r="U130" i="1"/>
  <c r="U135" i="1" s="1"/>
  <c r="T130" i="1"/>
  <c r="T135" i="1" s="1"/>
  <c r="S130" i="1"/>
  <c r="S135" i="1" s="1"/>
  <c r="R130" i="1"/>
  <c r="R135" i="1" s="1"/>
  <c r="Q130" i="1"/>
  <c r="Q135" i="1" s="1"/>
  <c r="P130" i="1"/>
  <c r="P135" i="1" s="1"/>
  <c r="O130" i="1"/>
  <c r="O135" i="1" s="1"/>
  <c r="N130" i="1"/>
  <c r="N135" i="1" s="1"/>
  <c r="M130" i="1"/>
  <c r="M135" i="1" s="1"/>
  <c r="L130" i="1"/>
  <c r="L135" i="1" s="1"/>
  <c r="K130" i="1"/>
  <c r="K135" i="1" s="1"/>
  <c r="J130" i="1"/>
  <c r="J135" i="1" s="1"/>
  <c r="I130" i="1"/>
  <c r="I135" i="1" s="1"/>
  <c r="H130" i="1"/>
  <c r="H135" i="1" s="1"/>
  <c r="G130" i="1"/>
  <c r="G135" i="1" s="1"/>
  <c r="F130" i="1"/>
  <c r="F135" i="1" s="1"/>
  <c r="E130" i="1"/>
  <c r="E135" i="1" s="1"/>
  <c r="D130" i="1"/>
  <c r="D135" i="1" s="1"/>
  <c r="C130" i="1"/>
  <c r="C135" i="1" s="1"/>
  <c r="AZ129" i="1"/>
  <c r="AZ128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J123" i="1"/>
  <c r="AF123" i="1"/>
  <c r="AF122" i="1" s="1"/>
  <c r="AB123" i="1"/>
  <c r="AK122" i="1"/>
  <c r="AJ122" i="1"/>
  <c r="AI122" i="1"/>
  <c r="AH122" i="1"/>
  <c r="AG122" i="1"/>
  <c r="AE122" i="1"/>
  <c r="AD122" i="1"/>
  <c r="AC122" i="1"/>
  <c r="AB122" i="1"/>
  <c r="AA122" i="1"/>
  <c r="Z122" i="1"/>
  <c r="Y122" i="1"/>
  <c r="X122" i="1"/>
  <c r="W122" i="1"/>
  <c r="V122" i="1"/>
  <c r="U122" i="1"/>
  <c r="AZ116" i="1"/>
  <c r="AY116" i="1"/>
  <c r="AX116" i="1"/>
  <c r="AX138" i="1" s="1"/>
  <c r="AW116" i="1"/>
  <c r="AV116" i="1"/>
  <c r="AV138" i="1" s="1"/>
  <c r="AU116" i="1"/>
  <c r="AT116" i="1"/>
  <c r="AT138" i="1" s="1"/>
  <c r="AS116" i="1"/>
  <c r="AR116" i="1"/>
  <c r="AR138" i="1" s="1"/>
  <c r="AQ116" i="1"/>
  <c r="AP116" i="1"/>
  <c r="AP138" i="1" s="1"/>
  <c r="AO116" i="1"/>
  <c r="AN116" i="1"/>
  <c r="AN138" i="1" s="1"/>
  <c r="AM116" i="1"/>
  <c r="AL116" i="1"/>
  <c r="AL138" i="1" s="1"/>
  <c r="AK116" i="1"/>
  <c r="AJ116" i="1"/>
  <c r="AJ138" i="1" s="1"/>
  <c r="AI116" i="1"/>
  <c r="AH116" i="1"/>
  <c r="AH138" i="1" s="1"/>
  <c r="AG116" i="1"/>
  <c r="AF116" i="1"/>
  <c r="AF138" i="1" s="1"/>
  <c r="AE116" i="1"/>
  <c r="AD116" i="1"/>
  <c r="AD138" i="1" s="1"/>
  <c r="AC116" i="1"/>
  <c r="AB116" i="1"/>
  <c r="AB138" i="1" s="1"/>
  <c r="AA116" i="1"/>
  <c r="Z116" i="1"/>
  <c r="Z138" i="1" s="1"/>
  <c r="Y116" i="1"/>
  <c r="X116" i="1"/>
  <c r="X138" i="1" s="1"/>
  <c r="W116" i="1"/>
  <c r="V116" i="1"/>
  <c r="V138" i="1" s="1"/>
  <c r="U116" i="1"/>
  <c r="T116" i="1"/>
  <c r="T142" i="1" s="1"/>
  <c r="S116" i="1"/>
  <c r="R116" i="1"/>
  <c r="R142" i="1" s="1"/>
  <c r="Q116" i="1"/>
  <c r="P116" i="1"/>
  <c r="P142" i="1" s="1"/>
  <c r="O116" i="1"/>
  <c r="N116" i="1"/>
  <c r="N142" i="1" s="1"/>
  <c r="M116" i="1"/>
  <c r="L116" i="1"/>
  <c r="L142" i="1" s="1"/>
  <c r="K116" i="1"/>
  <c r="J116" i="1"/>
  <c r="J142" i="1" s="1"/>
  <c r="I116" i="1"/>
  <c r="H116" i="1"/>
  <c r="H142" i="1" s="1"/>
  <c r="G116" i="1"/>
  <c r="F116" i="1"/>
  <c r="F142" i="1" s="1"/>
  <c r="E116" i="1"/>
  <c r="D116" i="1"/>
  <c r="D142" i="1" s="1"/>
  <c r="C116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Z108" i="1"/>
  <c r="AY108" i="1"/>
  <c r="AY120" i="1" s="1"/>
  <c r="AX108" i="1"/>
  <c r="AW108" i="1"/>
  <c r="AW120" i="1" s="1"/>
  <c r="AV108" i="1"/>
  <c r="AU108" i="1"/>
  <c r="AU120" i="1" s="1"/>
  <c r="AT108" i="1"/>
  <c r="AS108" i="1"/>
  <c r="AS120" i="1" s="1"/>
  <c r="AR108" i="1"/>
  <c r="AQ108" i="1"/>
  <c r="AQ120" i="1" s="1"/>
  <c r="AP108" i="1"/>
  <c r="AO108" i="1"/>
  <c r="AO120" i="1" s="1"/>
  <c r="AN108" i="1"/>
  <c r="AM108" i="1"/>
  <c r="AM120" i="1" s="1"/>
  <c r="AL108" i="1"/>
  <c r="AK108" i="1"/>
  <c r="AK120" i="1" s="1"/>
  <c r="AJ108" i="1"/>
  <c r="AI108" i="1"/>
  <c r="AI120" i="1" s="1"/>
  <c r="AH108" i="1"/>
  <c r="AG108" i="1"/>
  <c r="AG120" i="1" s="1"/>
  <c r="AF108" i="1"/>
  <c r="AE108" i="1"/>
  <c r="AE120" i="1" s="1"/>
  <c r="AD108" i="1"/>
  <c r="AC108" i="1"/>
  <c r="AC120" i="1" s="1"/>
  <c r="AB108" i="1"/>
  <c r="AA108" i="1"/>
  <c r="AA120" i="1" s="1"/>
  <c r="Z108" i="1"/>
  <c r="Y108" i="1"/>
  <c r="Y120" i="1" s="1"/>
  <c r="X108" i="1"/>
  <c r="W108" i="1"/>
  <c r="W120" i="1" s="1"/>
  <c r="V108" i="1"/>
  <c r="U108" i="1"/>
  <c r="U120" i="1" s="1"/>
  <c r="T108" i="1"/>
  <c r="S108" i="1"/>
  <c r="S120" i="1" s="1"/>
  <c r="R108" i="1"/>
  <c r="Q108" i="1"/>
  <c r="Q120" i="1" s="1"/>
  <c r="P108" i="1"/>
  <c r="O108" i="1"/>
  <c r="O120" i="1" s="1"/>
  <c r="N108" i="1"/>
  <c r="M108" i="1"/>
  <c r="M120" i="1" s="1"/>
  <c r="L108" i="1"/>
  <c r="K108" i="1"/>
  <c r="K120" i="1" s="1"/>
  <c r="J108" i="1"/>
  <c r="I108" i="1"/>
  <c r="I120" i="1" s="1"/>
  <c r="H108" i="1"/>
  <c r="G108" i="1"/>
  <c r="G120" i="1" s="1"/>
  <c r="F108" i="1"/>
  <c r="E108" i="1"/>
  <c r="E120" i="1" s="1"/>
  <c r="D108" i="1"/>
  <c r="C108" i="1"/>
  <c r="C120" i="1" s="1"/>
  <c r="AL103" i="1"/>
  <c r="AL199" i="1" s="1"/>
  <c r="AK103" i="1"/>
  <c r="AK199" i="1" s="1"/>
  <c r="AJ103" i="1"/>
  <c r="AI103" i="1"/>
  <c r="AH103" i="1"/>
  <c r="AG103" i="1"/>
  <c r="AB103" i="1"/>
  <c r="AA103" i="1"/>
  <c r="AY97" i="1"/>
  <c r="AY148" i="1" s="1"/>
  <c r="AY145" i="1" s="1"/>
  <c r="AX97" i="1"/>
  <c r="AX148" i="1" s="1"/>
  <c r="AX145" i="1" s="1"/>
  <c r="AW97" i="1"/>
  <c r="AW148" i="1" s="1"/>
  <c r="AW145" i="1" s="1"/>
  <c r="AV97" i="1"/>
  <c r="AV148" i="1" s="1"/>
  <c r="AV145" i="1" s="1"/>
  <c r="AU97" i="1"/>
  <c r="AU148" i="1" s="1"/>
  <c r="AU145" i="1" s="1"/>
  <c r="AT97" i="1"/>
  <c r="AT148" i="1" s="1"/>
  <c r="AT141" i="1" s="1"/>
  <c r="AS97" i="1"/>
  <c r="AS148" i="1" s="1"/>
  <c r="AS141" i="1" s="1"/>
  <c r="AR97" i="1"/>
  <c r="AR148" i="1" s="1"/>
  <c r="AR141" i="1" s="1"/>
  <c r="AQ97" i="1"/>
  <c r="AQ148" i="1" s="1"/>
  <c r="AQ141" i="1" s="1"/>
  <c r="AP97" i="1"/>
  <c r="AP148" i="1" s="1"/>
  <c r="AP141" i="1" s="1"/>
  <c r="AO97" i="1"/>
  <c r="AO148" i="1" s="1"/>
  <c r="AO141" i="1" s="1"/>
  <c r="AN97" i="1"/>
  <c r="AN148" i="1" s="1"/>
  <c r="AN141" i="1" s="1"/>
  <c r="AM97" i="1"/>
  <c r="AM148" i="1" s="1"/>
  <c r="AM141" i="1" s="1"/>
  <c r="AL97" i="1"/>
  <c r="AL148" i="1" s="1"/>
  <c r="AL141" i="1" s="1"/>
  <c r="AK97" i="1"/>
  <c r="AK148" i="1" s="1"/>
  <c r="AK141" i="1" s="1"/>
  <c r="AJ97" i="1"/>
  <c r="AJ148" i="1" s="1"/>
  <c r="AJ141" i="1" s="1"/>
  <c r="AI97" i="1"/>
  <c r="AI148" i="1" s="1"/>
  <c r="AI141" i="1" s="1"/>
  <c r="AH97" i="1"/>
  <c r="AH148" i="1" s="1"/>
  <c r="AH141" i="1" s="1"/>
  <c r="AG97" i="1"/>
  <c r="AG148" i="1" s="1"/>
  <c r="AG141" i="1" s="1"/>
  <c r="AF97" i="1"/>
  <c r="AF148" i="1" s="1"/>
  <c r="AF141" i="1" s="1"/>
  <c r="AE97" i="1"/>
  <c r="AE148" i="1" s="1"/>
  <c r="AE141" i="1" s="1"/>
  <c r="AD97" i="1"/>
  <c r="AD148" i="1" s="1"/>
  <c r="AD141" i="1" s="1"/>
  <c r="AC97" i="1"/>
  <c r="AC148" i="1" s="1"/>
  <c r="AC141" i="1" s="1"/>
  <c r="AB97" i="1"/>
  <c r="AB148" i="1" s="1"/>
  <c r="AB141" i="1" s="1"/>
  <c r="AA97" i="1"/>
  <c r="AA148" i="1" s="1"/>
  <c r="AA141" i="1" s="1"/>
  <c r="Z97" i="1"/>
  <c r="Z148" i="1" s="1"/>
  <c r="Z141" i="1" s="1"/>
  <c r="Y97" i="1"/>
  <c r="Y148" i="1" s="1"/>
  <c r="Y141" i="1" s="1"/>
  <c r="X97" i="1"/>
  <c r="X148" i="1" s="1"/>
  <c r="X141" i="1" s="1"/>
  <c r="W97" i="1"/>
  <c r="W148" i="1" s="1"/>
  <c r="W141" i="1" s="1"/>
  <c r="V97" i="1"/>
  <c r="V148" i="1" s="1"/>
  <c r="V141" i="1" s="1"/>
  <c r="U97" i="1"/>
  <c r="U148" i="1" s="1"/>
  <c r="U141" i="1" s="1"/>
  <c r="T97" i="1"/>
  <c r="T148" i="1" s="1"/>
  <c r="T141" i="1" s="1"/>
  <c r="S97" i="1"/>
  <c r="S148" i="1" s="1"/>
  <c r="S141" i="1" s="1"/>
  <c r="R97" i="1"/>
  <c r="R148" i="1" s="1"/>
  <c r="R141" i="1" s="1"/>
  <c r="Q97" i="1"/>
  <c r="Q148" i="1" s="1"/>
  <c r="Q141" i="1" s="1"/>
  <c r="P97" i="1"/>
  <c r="P148" i="1" s="1"/>
  <c r="P141" i="1" s="1"/>
  <c r="O97" i="1"/>
  <c r="O148" i="1" s="1"/>
  <c r="O141" i="1" s="1"/>
  <c r="N97" i="1"/>
  <c r="N148" i="1" s="1"/>
  <c r="N141" i="1" s="1"/>
  <c r="M97" i="1"/>
  <c r="M148" i="1" s="1"/>
  <c r="M141" i="1" s="1"/>
  <c r="L97" i="1"/>
  <c r="L148" i="1" s="1"/>
  <c r="L141" i="1" s="1"/>
  <c r="K97" i="1"/>
  <c r="K148" i="1" s="1"/>
  <c r="K141" i="1" s="1"/>
  <c r="J97" i="1"/>
  <c r="J148" i="1" s="1"/>
  <c r="J141" i="1" s="1"/>
  <c r="I97" i="1"/>
  <c r="I148" i="1" s="1"/>
  <c r="I141" i="1" s="1"/>
  <c r="H97" i="1"/>
  <c r="H148" i="1" s="1"/>
  <c r="H141" i="1" s="1"/>
  <c r="G97" i="1"/>
  <c r="G148" i="1" s="1"/>
  <c r="G141" i="1" s="1"/>
  <c r="F97" i="1"/>
  <c r="F148" i="1" s="1"/>
  <c r="F141" i="1" s="1"/>
  <c r="E97" i="1"/>
  <c r="E148" i="1" s="1"/>
  <c r="E141" i="1" s="1"/>
  <c r="D97" i="1"/>
  <c r="D148" i="1" s="1"/>
  <c r="D141" i="1" s="1"/>
  <c r="C97" i="1"/>
  <c r="C148" i="1" s="1"/>
  <c r="C141" i="1" s="1"/>
  <c r="AZ96" i="1"/>
  <c r="AS96" i="1"/>
  <c r="AQ96" i="1"/>
  <c r="AM96" i="1"/>
  <c r="AY95" i="1"/>
  <c r="AY96" i="1" s="1"/>
  <c r="AX95" i="1"/>
  <c r="AW95" i="1"/>
  <c r="AW96" i="1" s="1"/>
  <c r="AV95" i="1"/>
  <c r="AU95" i="1"/>
  <c r="AU96" i="1" s="1"/>
  <c r="AS95" i="1"/>
  <c r="AQ95" i="1"/>
  <c r="AM95" i="1"/>
  <c r="AZ94" i="1"/>
  <c r="AY94" i="1"/>
  <c r="AX94" i="1"/>
  <c r="AW94" i="1"/>
  <c r="AV94" i="1"/>
  <c r="AU94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E87" i="1"/>
  <c r="E88" i="1" s="1"/>
  <c r="D87" i="1"/>
  <c r="B85" i="1"/>
  <c r="V84" i="1"/>
  <c r="N84" i="1"/>
  <c r="AZ83" i="1"/>
  <c r="AY83" i="1"/>
  <c r="AX83" i="1"/>
  <c r="AX84" i="1" s="1"/>
  <c r="AW83" i="1"/>
  <c r="AV83" i="1"/>
  <c r="AV84" i="1" s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Z82" i="1"/>
  <c r="AV82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D84" i="1" s="1"/>
  <c r="AC81" i="1"/>
  <c r="AB81" i="1"/>
  <c r="Z81" i="1"/>
  <c r="Y81" i="1"/>
  <c r="X81" i="1"/>
  <c r="W81" i="1"/>
  <c r="T81" i="1"/>
  <c r="S81" i="1"/>
  <c r="P81" i="1"/>
  <c r="K81" i="1"/>
  <c r="J81" i="1"/>
  <c r="H81" i="1"/>
  <c r="H84" i="1" s="1"/>
  <c r="AZ80" i="1"/>
  <c r="AY79" i="1"/>
  <c r="AY84" i="1" s="1"/>
  <c r="AX79" i="1"/>
  <c r="AW79" i="1"/>
  <c r="AW84" i="1" s="1"/>
  <c r="AV79" i="1"/>
  <c r="AU79" i="1"/>
  <c r="AU84" i="1" s="1"/>
  <c r="AT79" i="1"/>
  <c r="AS79" i="1"/>
  <c r="AS84" i="1" s="1"/>
  <c r="AR79" i="1"/>
  <c r="AQ79" i="1"/>
  <c r="AQ84" i="1" s="1"/>
  <c r="AP79" i="1"/>
  <c r="AO79" i="1"/>
  <c r="AO84" i="1" s="1"/>
  <c r="AN79" i="1"/>
  <c r="AM79" i="1"/>
  <c r="AM84" i="1" s="1"/>
  <c r="AL79" i="1"/>
  <c r="AK79" i="1"/>
  <c r="AK84" i="1" s="1"/>
  <c r="AJ79" i="1"/>
  <c r="AI79" i="1"/>
  <c r="AI84" i="1" s="1"/>
  <c r="AH79" i="1"/>
  <c r="AG79" i="1"/>
  <c r="AG84" i="1" s="1"/>
  <c r="AF79" i="1"/>
  <c r="AF84" i="1" s="1"/>
  <c r="AE79" i="1"/>
  <c r="AE84" i="1" s="1"/>
  <c r="AD79" i="1"/>
  <c r="AC79" i="1"/>
  <c r="AC84" i="1" s="1"/>
  <c r="AB79" i="1"/>
  <c r="AB84" i="1" s="1"/>
  <c r="AA79" i="1"/>
  <c r="AA84" i="1" s="1"/>
  <c r="Z79" i="1"/>
  <c r="Y79" i="1"/>
  <c r="Y84" i="1" s="1"/>
  <c r="X79" i="1"/>
  <c r="W79" i="1"/>
  <c r="W84" i="1" s="1"/>
  <c r="V79" i="1"/>
  <c r="U79" i="1"/>
  <c r="U84" i="1" s="1"/>
  <c r="T79" i="1"/>
  <c r="S79" i="1"/>
  <c r="S84" i="1" s="1"/>
  <c r="R79" i="1"/>
  <c r="R84" i="1" s="1"/>
  <c r="Q79" i="1"/>
  <c r="Q84" i="1" s="1"/>
  <c r="P79" i="1"/>
  <c r="O79" i="1"/>
  <c r="O84" i="1" s="1"/>
  <c r="N79" i="1"/>
  <c r="M79" i="1"/>
  <c r="M84" i="1" s="1"/>
  <c r="L79" i="1"/>
  <c r="L84" i="1" s="1"/>
  <c r="K79" i="1"/>
  <c r="K84" i="1" s="1"/>
  <c r="J79" i="1"/>
  <c r="I79" i="1"/>
  <c r="I84" i="1" s="1"/>
  <c r="H79" i="1"/>
  <c r="G79" i="1"/>
  <c r="G84" i="1" s="1"/>
  <c r="F79" i="1"/>
  <c r="F84" i="1" s="1"/>
  <c r="C79" i="1"/>
  <c r="C84" i="1" s="1"/>
  <c r="AZ78" i="1"/>
  <c r="E78" i="1"/>
  <c r="D78" i="1"/>
  <c r="AZ77" i="1"/>
  <c r="AZ87" i="1" s="1"/>
  <c r="AZ88" i="1" s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J72" i="1"/>
  <c r="AF72" i="1"/>
  <c r="AB72" i="1"/>
  <c r="AK71" i="1"/>
  <c r="AK74" i="1" s="1"/>
  <c r="AJ71" i="1"/>
  <c r="AI71" i="1"/>
  <c r="AI74" i="1" s="1"/>
  <c r="AH71" i="1"/>
  <c r="AH74" i="1" s="1"/>
  <c r="AH91" i="1" s="1"/>
  <c r="AH92" i="1" s="1"/>
  <c r="AG71" i="1"/>
  <c r="AG74" i="1" s="1"/>
  <c r="AE71" i="1"/>
  <c r="AE74" i="1" s="1"/>
  <c r="AE91" i="1" s="1"/>
  <c r="AE92" i="1" s="1"/>
  <c r="AD71" i="1"/>
  <c r="AD74" i="1" s="1"/>
  <c r="AC71" i="1"/>
  <c r="AC74" i="1" s="1"/>
  <c r="AC91" i="1" s="1"/>
  <c r="AC92" i="1" s="1"/>
  <c r="AA71" i="1"/>
  <c r="AA74" i="1" s="1"/>
  <c r="Z71" i="1"/>
  <c r="Z74" i="1" s="1"/>
  <c r="Y71" i="1"/>
  <c r="Y74" i="1" s="1"/>
  <c r="X71" i="1"/>
  <c r="X74" i="1" s="1"/>
  <c r="W71" i="1"/>
  <c r="W74" i="1" s="1"/>
  <c r="V71" i="1"/>
  <c r="V74" i="1" s="1"/>
  <c r="U71" i="1"/>
  <c r="U74" i="1" s="1"/>
  <c r="AZ65" i="1"/>
  <c r="AY65" i="1"/>
  <c r="AX65" i="1"/>
  <c r="AX87" i="1" s="1"/>
  <c r="AW65" i="1"/>
  <c r="AW87" i="1" s="1"/>
  <c r="AW88" i="1" s="1"/>
  <c r="AV65" i="1"/>
  <c r="AV87" i="1" s="1"/>
  <c r="AU65" i="1"/>
  <c r="AT65" i="1"/>
  <c r="AT87" i="1" s="1"/>
  <c r="AS65" i="1"/>
  <c r="AS87" i="1" s="1"/>
  <c r="AS88" i="1" s="1"/>
  <c r="AR65" i="1"/>
  <c r="AR87" i="1" s="1"/>
  <c r="AQ65" i="1"/>
  <c r="AQ87" i="1" s="1"/>
  <c r="AQ88" i="1" s="1"/>
  <c r="AP65" i="1"/>
  <c r="AP87" i="1" s="1"/>
  <c r="AO65" i="1"/>
  <c r="AO87" i="1" s="1"/>
  <c r="AO88" i="1" s="1"/>
  <c r="AN65" i="1"/>
  <c r="AN87" i="1" s="1"/>
  <c r="AM65" i="1"/>
  <c r="AM87" i="1" s="1"/>
  <c r="AM88" i="1" s="1"/>
  <c r="AL65" i="1"/>
  <c r="AL87" i="1" s="1"/>
  <c r="AK65" i="1"/>
  <c r="AK87" i="1" s="1"/>
  <c r="AK88" i="1" s="1"/>
  <c r="AJ65" i="1"/>
  <c r="AJ87" i="1" s="1"/>
  <c r="AI65" i="1"/>
  <c r="AI87" i="1" s="1"/>
  <c r="AI88" i="1" s="1"/>
  <c r="AH65" i="1"/>
  <c r="AH87" i="1" s="1"/>
  <c r="AG65" i="1"/>
  <c r="AG87" i="1" s="1"/>
  <c r="AG88" i="1" s="1"/>
  <c r="AF65" i="1"/>
  <c r="AF87" i="1" s="1"/>
  <c r="AE65" i="1"/>
  <c r="AE87" i="1" s="1"/>
  <c r="AE88" i="1" s="1"/>
  <c r="AD65" i="1"/>
  <c r="AD87" i="1" s="1"/>
  <c r="AC65" i="1"/>
  <c r="AC87" i="1" s="1"/>
  <c r="AC88" i="1" s="1"/>
  <c r="AB65" i="1"/>
  <c r="AB87" i="1" s="1"/>
  <c r="AA65" i="1"/>
  <c r="AA87" i="1" s="1"/>
  <c r="AA88" i="1" s="1"/>
  <c r="Z65" i="1"/>
  <c r="Z87" i="1" s="1"/>
  <c r="Y65" i="1"/>
  <c r="Y87" i="1" s="1"/>
  <c r="Y88" i="1" s="1"/>
  <c r="X65" i="1"/>
  <c r="X87" i="1" s="1"/>
  <c r="W65" i="1"/>
  <c r="W87" i="1" s="1"/>
  <c r="W88" i="1" s="1"/>
  <c r="V65" i="1"/>
  <c r="V87" i="1" s="1"/>
  <c r="U65" i="1"/>
  <c r="U87" i="1" s="1"/>
  <c r="U88" i="1" s="1"/>
  <c r="T65" i="1"/>
  <c r="T91" i="1" s="1"/>
  <c r="S65" i="1"/>
  <c r="S91" i="1" s="1"/>
  <c r="S92" i="1" s="1"/>
  <c r="R65" i="1"/>
  <c r="R91" i="1" s="1"/>
  <c r="Q65" i="1"/>
  <c r="Q91" i="1" s="1"/>
  <c r="Q92" i="1" s="1"/>
  <c r="P65" i="1"/>
  <c r="P91" i="1" s="1"/>
  <c r="O65" i="1"/>
  <c r="O91" i="1" s="1"/>
  <c r="O92" i="1" s="1"/>
  <c r="N65" i="1"/>
  <c r="N91" i="1" s="1"/>
  <c r="M65" i="1"/>
  <c r="M91" i="1" s="1"/>
  <c r="M92" i="1" s="1"/>
  <c r="L65" i="1"/>
  <c r="L91" i="1" s="1"/>
  <c r="K65" i="1"/>
  <c r="K91" i="1" s="1"/>
  <c r="K92" i="1" s="1"/>
  <c r="J65" i="1"/>
  <c r="J91" i="1" s="1"/>
  <c r="I65" i="1"/>
  <c r="I91" i="1" s="1"/>
  <c r="I92" i="1" s="1"/>
  <c r="H65" i="1"/>
  <c r="H91" i="1" s="1"/>
  <c r="G65" i="1"/>
  <c r="G91" i="1" s="1"/>
  <c r="G92" i="1" s="1"/>
  <c r="F65" i="1"/>
  <c r="F91" i="1" s="1"/>
  <c r="E65" i="1"/>
  <c r="D65" i="1"/>
  <c r="C65" i="1"/>
  <c r="C91" i="1" s="1"/>
  <c r="C92" i="1" s="1"/>
  <c r="AY60" i="1"/>
  <c r="AX60" i="1"/>
  <c r="AW60" i="1"/>
  <c r="AV60" i="1"/>
  <c r="AU60" i="1"/>
  <c r="AT60" i="1"/>
  <c r="AS60" i="1"/>
  <c r="C60" i="1"/>
  <c r="AY59" i="1"/>
  <c r="AX59" i="1"/>
  <c r="AW59" i="1"/>
  <c r="AV59" i="1"/>
  <c r="AU59" i="1"/>
  <c r="AT59" i="1"/>
  <c r="AS59" i="1"/>
  <c r="C59" i="1"/>
  <c r="AZ57" i="1"/>
  <c r="AZ69" i="1" s="1"/>
  <c r="AY57" i="1"/>
  <c r="AY69" i="1" s="1"/>
  <c r="AX57" i="1"/>
  <c r="AX69" i="1" s="1"/>
  <c r="AW57" i="1"/>
  <c r="AW69" i="1" s="1"/>
  <c r="AV57" i="1"/>
  <c r="AV69" i="1" s="1"/>
  <c r="AU57" i="1"/>
  <c r="AU69" i="1" s="1"/>
  <c r="AT57" i="1"/>
  <c r="AT69" i="1" s="1"/>
  <c r="AS57" i="1"/>
  <c r="AS69" i="1" s="1"/>
  <c r="AR57" i="1"/>
  <c r="AR69" i="1" s="1"/>
  <c r="AQ57" i="1"/>
  <c r="AQ69" i="1" s="1"/>
  <c r="AP57" i="1"/>
  <c r="AP69" i="1" s="1"/>
  <c r="AO57" i="1"/>
  <c r="AO69" i="1" s="1"/>
  <c r="AN57" i="1"/>
  <c r="AN69" i="1" s="1"/>
  <c r="AM57" i="1"/>
  <c r="AM69" i="1" s="1"/>
  <c r="AL57" i="1"/>
  <c r="AL69" i="1" s="1"/>
  <c r="AK57" i="1"/>
  <c r="AK69" i="1" s="1"/>
  <c r="AJ57" i="1"/>
  <c r="AJ69" i="1" s="1"/>
  <c r="AI57" i="1"/>
  <c r="AI69" i="1" s="1"/>
  <c r="AH57" i="1"/>
  <c r="AH69" i="1" s="1"/>
  <c r="AG57" i="1"/>
  <c r="AG69" i="1" s="1"/>
  <c r="AF57" i="1"/>
  <c r="AF69" i="1" s="1"/>
  <c r="AE57" i="1"/>
  <c r="AE69" i="1" s="1"/>
  <c r="AD57" i="1"/>
  <c r="AD69" i="1" s="1"/>
  <c r="AC57" i="1"/>
  <c r="AC69" i="1" s="1"/>
  <c r="AB57" i="1"/>
  <c r="AB69" i="1" s="1"/>
  <c r="AA57" i="1"/>
  <c r="AA69" i="1" s="1"/>
  <c r="Z57" i="1"/>
  <c r="Z69" i="1" s="1"/>
  <c r="Y57" i="1"/>
  <c r="Y69" i="1" s="1"/>
  <c r="X57" i="1"/>
  <c r="X69" i="1" s="1"/>
  <c r="W57" i="1"/>
  <c r="W69" i="1" s="1"/>
  <c r="V57" i="1"/>
  <c r="V69" i="1" s="1"/>
  <c r="U57" i="1"/>
  <c r="U69" i="1" s="1"/>
  <c r="T57" i="1"/>
  <c r="T69" i="1" s="1"/>
  <c r="S57" i="1"/>
  <c r="S69" i="1" s="1"/>
  <c r="R57" i="1"/>
  <c r="R69" i="1" s="1"/>
  <c r="Q57" i="1"/>
  <c r="Q69" i="1" s="1"/>
  <c r="P57" i="1"/>
  <c r="P69" i="1" s="1"/>
  <c r="O57" i="1"/>
  <c r="O69" i="1" s="1"/>
  <c r="N57" i="1"/>
  <c r="N69" i="1" s="1"/>
  <c r="M57" i="1"/>
  <c r="M69" i="1" s="1"/>
  <c r="L57" i="1"/>
  <c r="L69" i="1" s="1"/>
  <c r="K57" i="1"/>
  <c r="K69" i="1" s="1"/>
  <c r="J57" i="1"/>
  <c r="J69" i="1" s="1"/>
  <c r="I57" i="1"/>
  <c r="I69" i="1" s="1"/>
  <c r="H57" i="1"/>
  <c r="H69" i="1" s="1"/>
  <c r="G57" i="1"/>
  <c r="G69" i="1" s="1"/>
  <c r="F57" i="1"/>
  <c r="F69" i="1" s="1"/>
  <c r="E57" i="1"/>
  <c r="E69" i="1" s="1"/>
  <c r="D57" i="1"/>
  <c r="D69" i="1" s="1"/>
  <c r="C57" i="1"/>
  <c r="C69" i="1" s="1"/>
  <c r="AV52" i="1"/>
  <c r="AU52" i="1"/>
  <c r="AJ52" i="1"/>
  <c r="AI52" i="1"/>
  <c r="AH52" i="1"/>
  <c r="AG52" i="1"/>
  <c r="AB52" i="1"/>
  <c r="AA52" i="1"/>
  <c r="AZ47" i="1"/>
  <c r="AS47" i="1"/>
  <c r="AQ47" i="1"/>
  <c r="AM47" i="1"/>
  <c r="AY46" i="1"/>
  <c r="AY47" i="1" s="1"/>
  <c r="AX46" i="1"/>
  <c r="AX47" i="1" s="1"/>
  <c r="AW46" i="1"/>
  <c r="AW47" i="1" s="1"/>
  <c r="AV46" i="1"/>
  <c r="AV47" i="1" s="1"/>
  <c r="AU46" i="1"/>
  <c r="AU47" i="1" s="1"/>
  <c r="AS46" i="1"/>
  <c r="AQ46" i="1"/>
  <c r="AM46" i="1"/>
  <c r="AZ45" i="1"/>
  <c r="AY45" i="1"/>
  <c r="AX45" i="1"/>
  <c r="AW45" i="1"/>
  <c r="AV45" i="1"/>
  <c r="AU45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E38" i="1"/>
  <c r="E39" i="1" s="1"/>
  <c r="D38" i="1"/>
  <c r="D39" i="1" s="1"/>
  <c r="B36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Z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Y32" i="1"/>
  <c r="X32" i="1"/>
  <c r="V32" i="1"/>
  <c r="U32" i="1"/>
  <c r="T32" i="1"/>
  <c r="S32" i="1"/>
  <c r="R32" i="1"/>
  <c r="P32" i="1"/>
  <c r="K32" i="1"/>
  <c r="J32" i="1"/>
  <c r="I32" i="1"/>
  <c r="H32" i="1"/>
  <c r="C32" i="1"/>
  <c r="AY30" i="1"/>
  <c r="AY35" i="1" s="1"/>
  <c r="AX30" i="1"/>
  <c r="AW30" i="1"/>
  <c r="AW35" i="1" s="1"/>
  <c r="AV30" i="1"/>
  <c r="AU30" i="1"/>
  <c r="AU35" i="1" s="1"/>
  <c r="AT30" i="1"/>
  <c r="AS30" i="1"/>
  <c r="AS35" i="1" s="1"/>
  <c r="AR30" i="1"/>
  <c r="AQ30" i="1"/>
  <c r="AQ35" i="1" s="1"/>
  <c r="AP30" i="1"/>
  <c r="AO30" i="1"/>
  <c r="AO35" i="1" s="1"/>
  <c r="AN30" i="1"/>
  <c r="AM30" i="1"/>
  <c r="AM35" i="1" s="1"/>
  <c r="AL30" i="1"/>
  <c r="AK30" i="1"/>
  <c r="AK35" i="1" s="1"/>
  <c r="AJ30" i="1"/>
  <c r="AI30" i="1"/>
  <c r="AI35" i="1" s="1"/>
  <c r="AH30" i="1"/>
  <c r="AG30" i="1"/>
  <c r="AG35" i="1" s="1"/>
  <c r="AF30" i="1"/>
  <c r="AF35" i="1" s="1"/>
  <c r="AE30" i="1"/>
  <c r="AE35" i="1" s="1"/>
  <c r="AD30" i="1"/>
  <c r="AD35" i="1" s="1"/>
  <c r="AC30" i="1"/>
  <c r="AC35" i="1" s="1"/>
  <c r="AB30" i="1"/>
  <c r="AB35" i="1" s="1"/>
  <c r="AA30" i="1"/>
  <c r="AA35" i="1" s="1"/>
  <c r="Z30" i="1"/>
  <c r="Z35" i="1" s="1"/>
  <c r="Y30" i="1"/>
  <c r="Y35" i="1" s="1"/>
  <c r="X30" i="1"/>
  <c r="W30" i="1"/>
  <c r="W35" i="1" s="1"/>
  <c r="V30" i="1"/>
  <c r="V35" i="1" s="1"/>
  <c r="U30" i="1"/>
  <c r="U35" i="1" s="1"/>
  <c r="T30" i="1"/>
  <c r="T35" i="1" s="1"/>
  <c r="S30" i="1"/>
  <c r="S35" i="1" s="1"/>
  <c r="R30" i="1"/>
  <c r="R35" i="1" s="1"/>
  <c r="Q30" i="1"/>
  <c r="Q35" i="1" s="1"/>
  <c r="P30" i="1"/>
  <c r="O30" i="1"/>
  <c r="O35" i="1" s="1"/>
  <c r="N30" i="1"/>
  <c r="N35" i="1" s="1"/>
  <c r="M30" i="1"/>
  <c r="M35" i="1" s="1"/>
  <c r="L30" i="1"/>
  <c r="L35" i="1" s="1"/>
  <c r="K30" i="1"/>
  <c r="K35" i="1" s="1"/>
  <c r="J30" i="1"/>
  <c r="I30" i="1"/>
  <c r="I35" i="1" s="1"/>
  <c r="H30" i="1"/>
  <c r="G30" i="1"/>
  <c r="G35" i="1" s="1"/>
  <c r="F30" i="1"/>
  <c r="F35" i="1" s="1"/>
  <c r="C30" i="1"/>
  <c r="C35" i="1" s="1"/>
  <c r="AZ29" i="1"/>
  <c r="E29" i="1"/>
  <c r="D29" i="1"/>
  <c r="AZ28" i="1"/>
  <c r="AZ38" i="1" s="1"/>
  <c r="AZ39" i="1" s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3" i="1"/>
  <c r="AL219" i="1" s="1"/>
  <c r="AJ23" i="1"/>
  <c r="AJ22" i="1" s="1"/>
  <c r="AJ25" i="1" s="1"/>
  <c r="AJ42" i="1" s="1"/>
  <c r="AJ43" i="1" s="1"/>
  <c r="AF23" i="1"/>
  <c r="AD23" i="1"/>
  <c r="AD219" i="1" s="1"/>
  <c r="AB23" i="1"/>
  <c r="AK22" i="1"/>
  <c r="AK25" i="1" s="1"/>
  <c r="AI22" i="1"/>
  <c r="AI25" i="1" s="1"/>
  <c r="AH22" i="1"/>
  <c r="AH25" i="1" s="1"/>
  <c r="AG22" i="1"/>
  <c r="AG25" i="1" s="1"/>
  <c r="AF22" i="1"/>
  <c r="AE22" i="1"/>
  <c r="AE25" i="1" s="1"/>
  <c r="AC22" i="1"/>
  <c r="AC25" i="1" s="1"/>
  <c r="AB22" i="1"/>
  <c r="AA22" i="1"/>
  <c r="AA25" i="1" s="1"/>
  <c r="Z22" i="1"/>
  <c r="Z25" i="1" s="1"/>
  <c r="Y22" i="1"/>
  <c r="Y25" i="1" s="1"/>
  <c r="X22" i="1"/>
  <c r="X25" i="1" s="1"/>
  <c r="W22" i="1"/>
  <c r="W25" i="1" s="1"/>
  <c r="V22" i="1"/>
  <c r="V25" i="1" s="1"/>
  <c r="U22" i="1"/>
  <c r="U25" i="1" s="1"/>
  <c r="AZ16" i="1"/>
  <c r="AY16" i="1"/>
  <c r="AY38" i="1" s="1"/>
  <c r="AY39" i="1" s="1"/>
  <c r="AX16" i="1"/>
  <c r="AX38" i="1" s="1"/>
  <c r="AX39" i="1" s="1"/>
  <c r="AW16" i="1"/>
  <c r="AW38" i="1" s="1"/>
  <c r="AW39" i="1" s="1"/>
  <c r="AV16" i="1"/>
  <c r="AV38" i="1" s="1"/>
  <c r="AV39" i="1" s="1"/>
  <c r="AU16" i="1"/>
  <c r="AU38" i="1" s="1"/>
  <c r="AU39" i="1" s="1"/>
  <c r="AT16" i="1"/>
  <c r="AT38" i="1" s="1"/>
  <c r="AT39" i="1" s="1"/>
  <c r="AS16" i="1"/>
  <c r="AS38" i="1" s="1"/>
  <c r="AS39" i="1" s="1"/>
  <c r="AR16" i="1"/>
  <c r="AR38" i="1" s="1"/>
  <c r="AR39" i="1" s="1"/>
  <c r="AQ16" i="1"/>
  <c r="AQ38" i="1" s="1"/>
  <c r="AQ39" i="1" s="1"/>
  <c r="AP16" i="1"/>
  <c r="AP38" i="1" s="1"/>
  <c r="AP39" i="1" s="1"/>
  <c r="AO16" i="1"/>
  <c r="AO38" i="1" s="1"/>
  <c r="AO39" i="1" s="1"/>
  <c r="AN16" i="1"/>
  <c r="AN38" i="1" s="1"/>
  <c r="AN39" i="1" s="1"/>
  <c r="AM16" i="1"/>
  <c r="AM38" i="1" s="1"/>
  <c r="AM39" i="1" s="1"/>
  <c r="AL16" i="1"/>
  <c r="AL38" i="1" s="1"/>
  <c r="AL39" i="1" s="1"/>
  <c r="AK16" i="1"/>
  <c r="AK38" i="1" s="1"/>
  <c r="AK39" i="1" s="1"/>
  <c r="AJ16" i="1"/>
  <c r="AJ38" i="1" s="1"/>
  <c r="AJ39" i="1" s="1"/>
  <c r="AI16" i="1"/>
  <c r="AI38" i="1" s="1"/>
  <c r="AI39" i="1" s="1"/>
  <c r="AH16" i="1"/>
  <c r="AH38" i="1" s="1"/>
  <c r="AH39" i="1" s="1"/>
  <c r="AG16" i="1"/>
  <c r="AG38" i="1" s="1"/>
  <c r="AG39" i="1" s="1"/>
  <c r="AF16" i="1"/>
  <c r="AF38" i="1" s="1"/>
  <c r="AF39" i="1" s="1"/>
  <c r="AE16" i="1"/>
  <c r="AE38" i="1" s="1"/>
  <c r="AE39" i="1" s="1"/>
  <c r="AD16" i="1"/>
  <c r="AD38" i="1" s="1"/>
  <c r="AD39" i="1" s="1"/>
  <c r="AC16" i="1"/>
  <c r="AC38" i="1" s="1"/>
  <c r="AC39" i="1" s="1"/>
  <c r="AB16" i="1"/>
  <c r="AB38" i="1" s="1"/>
  <c r="AB39" i="1" s="1"/>
  <c r="AA16" i="1"/>
  <c r="AA38" i="1" s="1"/>
  <c r="AA39" i="1" s="1"/>
  <c r="Z16" i="1"/>
  <c r="Z38" i="1" s="1"/>
  <c r="Z39" i="1" s="1"/>
  <c r="Y16" i="1"/>
  <c r="Y38" i="1" s="1"/>
  <c r="Y39" i="1" s="1"/>
  <c r="X16" i="1"/>
  <c r="X38" i="1" s="1"/>
  <c r="X39" i="1" s="1"/>
  <c r="W16" i="1"/>
  <c r="W38" i="1" s="1"/>
  <c r="W39" i="1" s="1"/>
  <c r="V16" i="1"/>
  <c r="V38" i="1" s="1"/>
  <c r="V39" i="1" s="1"/>
  <c r="U16" i="1"/>
  <c r="U38" i="1" s="1"/>
  <c r="U39" i="1" s="1"/>
  <c r="T16" i="1"/>
  <c r="T42" i="1" s="1"/>
  <c r="T43" i="1" s="1"/>
  <c r="S16" i="1"/>
  <c r="S42" i="1" s="1"/>
  <c r="S43" i="1" s="1"/>
  <c r="R16" i="1"/>
  <c r="R42" i="1" s="1"/>
  <c r="R43" i="1" s="1"/>
  <c r="Q16" i="1"/>
  <c r="Q42" i="1" s="1"/>
  <c r="Q43" i="1" s="1"/>
  <c r="P16" i="1"/>
  <c r="P42" i="1" s="1"/>
  <c r="P43" i="1" s="1"/>
  <c r="O16" i="1"/>
  <c r="O42" i="1" s="1"/>
  <c r="O43" i="1" s="1"/>
  <c r="N16" i="1"/>
  <c r="N42" i="1" s="1"/>
  <c r="N43" i="1" s="1"/>
  <c r="M16" i="1"/>
  <c r="M42" i="1" s="1"/>
  <c r="M43" i="1" s="1"/>
  <c r="L16" i="1"/>
  <c r="L42" i="1" s="1"/>
  <c r="L43" i="1" s="1"/>
  <c r="K16" i="1"/>
  <c r="K42" i="1" s="1"/>
  <c r="K43" i="1" s="1"/>
  <c r="J16" i="1"/>
  <c r="J42" i="1" s="1"/>
  <c r="J43" i="1" s="1"/>
  <c r="I16" i="1"/>
  <c r="I42" i="1" s="1"/>
  <c r="I43" i="1" s="1"/>
  <c r="H16" i="1"/>
  <c r="H42" i="1" s="1"/>
  <c r="H43" i="1" s="1"/>
  <c r="G16" i="1"/>
  <c r="G42" i="1" s="1"/>
  <c r="G43" i="1" s="1"/>
  <c r="F16" i="1"/>
  <c r="F42" i="1" s="1"/>
  <c r="F43" i="1" s="1"/>
  <c r="E16" i="1"/>
  <c r="D16" i="1"/>
  <c r="C16" i="1"/>
  <c r="C42" i="1" s="1"/>
  <c r="C43" i="1" s="1"/>
  <c r="AY11" i="1"/>
  <c r="AX11" i="1"/>
  <c r="AW11" i="1"/>
  <c r="AV11" i="1"/>
  <c r="AU11" i="1"/>
  <c r="AT11" i="1"/>
  <c r="AS11" i="1"/>
  <c r="C11" i="1"/>
  <c r="AY10" i="1"/>
  <c r="AX10" i="1"/>
  <c r="AW10" i="1"/>
  <c r="AV10" i="1"/>
  <c r="AU10" i="1"/>
  <c r="AT10" i="1"/>
  <c r="AS10" i="1"/>
  <c r="C10" i="1"/>
  <c r="AZ8" i="1"/>
  <c r="AY8" i="1"/>
  <c r="AX8" i="1"/>
  <c r="AX12" i="1" s="1"/>
  <c r="AW8" i="1"/>
  <c r="AW20" i="1" s="1"/>
  <c r="AV8" i="1"/>
  <c r="AV20" i="1" s="1"/>
  <c r="AU8" i="1"/>
  <c r="AU20" i="1" s="1"/>
  <c r="AT8" i="1"/>
  <c r="AT20" i="1" s="1"/>
  <c r="AS8" i="1"/>
  <c r="AS20" i="1" s="1"/>
  <c r="AR8" i="1"/>
  <c r="AR20" i="1" s="1"/>
  <c r="AQ8" i="1"/>
  <c r="AQ20" i="1" s="1"/>
  <c r="AP8" i="1"/>
  <c r="AP20" i="1" s="1"/>
  <c r="AO8" i="1"/>
  <c r="AO20" i="1" s="1"/>
  <c r="AN8" i="1"/>
  <c r="AN20" i="1" s="1"/>
  <c r="AM8" i="1"/>
  <c r="AM20" i="1" s="1"/>
  <c r="AL8" i="1"/>
  <c r="AL20" i="1" s="1"/>
  <c r="AK8" i="1"/>
  <c r="AK20" i="1" s="1"/>
  <c r="AJ8" i="1"/>
  <c r="AJ20" i="1" s="1"/>
  <c r="AI8" i="1"/>
  <c r="AI20" i="1" s="1"/>
  <c r="AH8" i="1"/>
  <c r="AH20" i="1" s="1"/>
  <c r="AG8" i="1"/>
  <c r="AG20" i="1" s="1"/>
  <c r="AF8" i="1"/>
  <c r="AF20" i="1" s="1"/>
  <c r="AE8" i="1"/>
  <c r="AE20" i="1" s="1"/>
  <c r="AD8" i="1"/>
  <c r="AD20" i="1" s="1"/>
  <c r="AC8" i="1"/>
  <c r="AC20" i="1" s="1"/>
  <c r="AB8" i="1"/>
  <c r="AB20" i="1" s="1"/>
  <c r="AA8" i="1"/>
  <c r="AA20" i="1" s="1"/>
  <c r="Z8" i="1"/>
  <c r="Z20" i="1" s="1"/>
  <c r="Y8" i="1"/>
  <c r="Y20" i="1" s="1"/>
  <c r="X8" i="1"/>
  <c r="X20" i="1" s="1"/>
  <c r="W8" i="1"/>
  <c r="W20" i="1" s="1"/>
  <c r="V8" i="1"/>
  <c r="V20" i="1" s="1"/>
  <c r="U8" i="1"/>
  <c r="U20" i="1" s="1"/>
  <c r="T8" i="1"/>
  <c r="T20" i="1" s="1"/>
  <c r="S8" i="1"/>
  <c r="S20" i="1" s="1"/>
  <c r="R8" i="1"/>
  <c r="R20" i="1" s="1"/>
  <c r="Q8" i="1"/>
  <c r="Q20" i="1" s="1"/>
  <c r="P8" i="1"/>
  <c r="P20" i="1" s="1"/>
  <c r="O8" i="1"/>
  <c r="O20" i="1" s="1"/>
  <c r="N8" i="1"/>
  <c r="N20" i="1" s="1"/>
  <c r="M8" i="1"/>
  <c r="M20" i="1" s="1"/>
  <c r="L8" i="1"/>
  <c r="L20" i="1" s="1"/>
  <c r="K8" i="1"/>
  <c r="K20" i="1" s="1"/>
  <c r="J8" i="1"/>
  <c r="J20" i="1" s="1"/>
  <c r="I8" i="1"/>
  <c r="I20" i="1" s="1"/>
  <c r="H8" i="1"/>
  <c r="H20" i="1" s="1"/>
  <c r="G8" i="1"/>
  <c r="G20" i="1" s="1"/>
  <c r="F8" i="1"/>
  <c r="F20" i="1" s="1"/>
  <c r="E8" i="1"/>
  <c r="E20" i="1" s="1"/>
  <c r="D8" i="1"/>
  <c r="D20" i="1" s="1"/>
  <c r="C8" i="1"/>
  <c r="C20" i="1" s="1"/>
  <c r="AV3" i="1"/>
  <c r="AU3" i="1"/>
  <c r="AP3" i="1"/>
  <c r="AP199" i="1" s="1"/>
  <c r="AJ3" i="1"/>
  <c r="AI3" i="1"/>
  <c r="AH3" i="1"/>
  <c r="AG3" i="1"/>
  <c r="AB3" i="1"/>
  <c r="AA3" i="1"/>
  <c r="W42" i="1" l="1"/>
  <c r="W43" i="1" s="1"/>
  <c r="AA42" i="1"/>
  <c r="AA43" i="1" s="1"/>
  <c r="AE42" i="1"/>
  <c r="AE43" i="1" s="1"/>
  <c r="AK42" i="1"/>
  <c r="AK43" i="1" s="1"/>
  <c r="AU12" i="1"/>
  <c r="AY12" i="1"/>
  <c r="V42" i="1"/>
  <c r="V43" i="1" s="1"/>
  <c r="X42" i="1"/>
  <c r="X43" i="1" s="1"/>
  <c r="Z42" i="1"/>
  <c r="Z43" i="1" s="1"/>
  <c r="AD22" i="1"/>
  <c r="AD25" i="1" s="1"/>
  <c r="AD42" i="1" s="1"/>
  <c r="AD43" i="1" s="1"/>
  <c r="AH42" i="1"/>
  <c r="AH43" i="1" s="1"/>
  <c r="AB25" i="1"/>
  <c r="AB42" i="1" s="1"/>
  <c r="AB43" i="1" s="1"/>
  <c r="AF25" i="1"/>
  <c r="AF42" i="1" s="1"/>
  <c r="AF43" i="1" s="1"/>
  <c r="AN42" i="1"/>
  <c r="AN43" i="1" s="1"/>
  <c r="AP42" i="1"/>
  <c r="AP43" i="1" s="1"/>
  <c r="AR42" i="1"/>
  <c r="AR43" i="1" s="1"/>
  <c r="AT42" i="1"/>
  <c r="AT43" i="1" s="1"/>
  <c r="AV42" i="1"/>
  <c r="AV43" i="1" s="1"/>
  <c r="AX42" i="1"/>
  <c r="AX43" i="1" s="1"/>
  <c r="D42" i="1"/>
  <c r="D43" i="1" s="1"/>
  <c r="AZ30" i="1"/>
  <c r="AZ35" i="1" s="1"/>
  <c r="H35" i="1"/>
  <c r="J35" i="1"/>
  <c r="P35" i="1"/>
  <c r="X35" i="1"/>
  <c r="AH35" i="1"/>
  <c r="AJ35" i="1"/>
  <c r="AL35" i="1"/>
  <c r="AN35" i="1"/>
  <c r="AP35" i="1"/>
  <c r="AR35" i="1"/>
  <c r="AW61" i="1"/>
  <c r="AB74" i="1"/>
  <c r="AB91" i="1" s="1"/>
  <c r="AB92" i="1" s="1"/>
  <c r="AB71" i="1"/>
  <c r="AJ74" i="1"/>
  <c r="AJ91" i="1" s="1"/>
  <c r="AJ92" i="1" s="1"/>
  <c r="AS12" i="1"/>
  <c r="AW12" i="1"/>
  <c r="U42" i="1"/>
  <c r="U43" i="1" s="1"/>
  <c r="Y42" i="1"/>
  <c r="Y43" i="1" s="1"/>
  <c r="AC42" i="1"/>
  <c r="AC43" i="1" s="1"/>
  <c r="AG42" i="1"/>
  <c r="AG43" i="1" s="1"/>
  <c r="AI42" i="1"/>
  <c r="AI43" i="1" s="1"/>
  <c r="AM42" i="1"/>
  <c r="AM43" i="1" s="1"/>
  <c r="AO42" i="1"/>
  <c r="AO43" i="1" s="1"/>
  <c r="AQ42" i="1"/>
  <c r="AQ43" i="1" s="1"/>
  <c r="AS42" i="1"/>
  <c r="AS43" i="1" s="1"/>
  <c r="AU42" i="1"/>
  <c r="AU43" i="1" s="1"/>
  <c r="AW42" i="1"/>
  <c r="AW43" i="1" s="1"/>
  <c r="E42" i="1"/>
  <c r="E43" i="1" s="1"/>
  <c r="AS61" i="1"/>
  <c r="AU87" i="1"/>
  <c r="AU88" i="1" s="1"/>
  <c r="AU61" i="1"/>
  <c r="AY87" i="1"/>
  <c r="AY88" i="1" s="1"/>
  <c r="AY61" i="1"/>
  <c r="U91" i="1"/>
  <c r="U92" i="1" s="1"/>
  <c r="W91" i="1"/>
  <c r="W92" i="1" s="1"/>
  <c r="Y91" i="1"/>
  <c r="Y92" i="1" s="1"/>
  <c r="AA91" i="1"/>
  <c r="AA92" i="1" s="1"/>
  <c r="AH84" i="1"/>
  <c r="AJ84" i="1"/>
  <c r="AL84" i="1"/>
  <c r="AN84" i="1"/>
  <c r="AP84" i="1"/>
  <c r="AR84" i="1"/>
  <c r="AT84" i="1"/>
  <c r="AL142" i="1"/>
  <c r="AL143" i="1" s="1"/>
  <c r="AN142" i="1"/>
  <c r="AN143" i="1" s="1"/>
  <c r="AP142" i="1"/>
  <c r="AP143" i="1" s="1"/>
  <c r="AR142" i="1"/>
  <c r="AR143" i="1" s="1"/>
  <c r="AT142" i="1"/>
  <c r="AT143" i="1" s="1"/>
  <c r="AV142" i="1"/>
  <c r="AV143" i="1" s="1"/>
  <c r="AX142" i="1"/>
  <c r="AX143" i="1" s="1"/>
  <c r="AV147" i="1"/>
  <c r="AX147" i="1"/>
  <c r="AM221" i="1"/>
  <c r="AO221" i="1"/>
  <c r="AQ221" i="1"/>
  <c r="AS221" i="1"/>
  <c r="AU221" i="1"/>
  <c r="AW221" i="1"/>
  <c r="AY221" i="1"/>
  <c r="AT35" i="1"/>
  <c r="AV35" i="1"/>
  <c r="AX35" i="1"/>
  <c r="F92" i="1"/>
  <c r="H92" i="1"/>
  <c r="J92" i="1"/>
  <c r="L92" i="1"/>
  <c r="N92" i="1"/>
  <c r="P92" i="1"/>
  <c r="R92" i="1"/>
  <c r="T92" i="1"/>
  <c r="V88" i="1"/>
  <c r="X88" i="1"/>
  <c r="Z88" i="1"/>
  <c r="AB88" i="1"/>
  <c r="AD88" i="1"/>
  <c r="AF88" i="1"/>
  <c r="AH88" i="1"/>
  <c r="AJ88" i="1"/>
  <c r="AL88" i="1"/>
  <c r="AN88" i="1"/>
  <c r="AP88" i="1"/>
  <c r="AR88" i="1"/>
  <c r="AT88" i="1"/>
  <c r="AV88" i="1"/>
  <c r="AX88" i="1"/>
  <c r="V91" i="1"/>
  <c r="V92" i="1" s="1"/>
  <c r="X91" i="1"/>
  <c r="X92" i="1" s="1"/>
  <c r="Z91" i="1"/>
  <c r="Z92" i="1" s="1"/>
  <c r="AD91" i="1"/>
  <c r="AD92" i="1" s="1"/>
  <c r="AG91" i="1"/>
  <c r="AG92" i="1" s="1"/>
  <c r="AI91" i="1"/>
  <c r="AI92" i="1" s="1"/>
  <c r="AK91" i="1"/>
  <c r="AK92" i="1" s="1"/>
  <c r="AZ79" i="1"/>
  <c r="AZ84" i="1" s="1"/>
  <c r="J84" i="1"/>
  <c r="P84" i="1"/>
  <c r="T84" i="1"/>
  <c r="X84" i="1"/>
  <c r="Z84" i="1"/>
  <c r="D88" i="1"/>
  <c r="AV96" i="1"/>
  <c r="AX96" i="1"/>
  <c r="V139" i="1"/>
  <c r="X139" i="1"/>
  <c r="Z139" i="1"/>
  <c r="AB139" i="1"/>
  <c r="AD139" i="1"/>
  <c r="AF139" i="1"/>
  <c r="AH139" i="1"/>
  <c r="AJ139" i="1"/>
  <c r="AL139" i="1"/>
  <c r="AN139" i="1"/>
  <c r="AP139" i="1"/>
  <c r="AR139" i="1"/>
  <c r="AT139" i="1"/>
  <c r="AV139" i="1"/>
  <c r="AX139" i="1"/>
  <c r="AU147" i="1"/>
  <c r="AW147" i="1"/>
  <c r="AL221" i="1"/>
  <c r="AN221" i="1"/>
  <c r="AP221" i="1"/>
  <c r="AR221" i="1"/>
  <c r="AT221" i="1"/>
  <c r="AV221" i="1"/>
  <c r="AX221" i="1"/>
  <c r="AZ221" i="1"/>
  <c r="BA253" i="1"/>
  <c r="BA254" i="1" s="1"/>
  <c r="BA235" i="1"/>
  <c r="AL25" i="1"/>
  <c r="AL42" i="1" s="1"/>
  <c r="AL43" i="1" s="1"/>
  <c r="D30" i="1"/>
  <c r="D35" i="1" s="1"/>
  <c r="F38" i="1"/>
  <c r="F39" i="1" s="1"/>
  <c r="H38" i="1"/>
  <c r="H39" i="1" s="1"/>
  <c r="J38" i="1"/>
  <c r="J39" i="1" s="1"/>
  <c r="L38" i="1"/>
  <c r="L39" i="1" s="1"/>
  <c r="N38" i="1"/>
  <c r="N39" i="1" s="1"/>
  <c r="P38" i="1"/>
  <c r="P39" i="1" s="1"/>
  <c r="R38" i="1"/>
  <c r="R39" i="1" s="1"/>
  <c r="T38" i="1"/>
  <c r="T39" i="1" s="1"/>
  <c r="AU199" i="1"/>
  <c r="AM91" i="1"/>
  <c r="AM92" i="1" s="1"/>
  <c r="AO91" i="1"/>
  <c r="AO92" i="1" s="1"/>
  <c r="AQ91" i="1"/>
  <c r="AQ92" i="1" s="1"/>
  <c r="AS91" i="1"/>
  <c r="AS92" i="1" s="1"/>
  <c r="AU91" i="1"/>
  <c r="AU92" i="1" s="1"/>
  <c r="AW91" i="1"/>
  <c r="AW92" i="1" s="1"/>
  <c r="E225" i="1"/>
  <c r="E91" i="1"/>
  <c r="E92" i="1" s="1"/>
  <c r="E79" i="1"/>
  <c r="E84" i="1" s="1"/>
  <c r="F87" i="1"/>
  <c r="F88" i="1" s="1"/>
  <c r="H87" i="1"/>
  <c r="H88" i="1" s="1"/>
  <c r="J87" i="1"/>
  <c r="J88" i="1" s="1"/>
  <c r="L87" i="1"/>
  <c r="L88" i="1" s="1"/>
  <c r="N87" i="1"/>
  <c r="N88" i="1" s="1"/>
  <c r="P87" i="1"/>
  <c r="P88" i="1" s="1"/>
  <c r="R87" i="1"/>
  <c r="R88" i="1" s="1"/>
  <c r="T87" i="1"/>
  <c r="T88" i="1" s="1"/>
  <c r="D143" i="1"/>
  <c r="F143" i="1"/>
  <c r="H143" i="1"/>
  <c r="J143" i="1"/>
  <c r="L143" i="1"/>
  <c r="N143" i="1"/>
  <c r="P143" i="1"/>
  <c r="R143" i="1"/>
  <c r="T143" i="1"/>
  <c r="C12" i="1"/>
  <c r="AT12" i="1"/>
  <c r="AV12" i="1"/>
  <c r="E30" i="1"/>
  <c r="E35" i="1" s="1"/>
  <c r="C38" i="1"/>
  <c r="C39" i="1" s="1"/>
  <c r="G38" i="1"/>
  <c r="G39" i="1" s="1"/>
  <c r="I38" i="1"/>
  <c r="I39" i="1" s="1"/>
  <c r="K38" i="1"/>
  <c r="K39" i="1" s="1"/>
  <c r="M38" i="1"/>
  <c r="M39" i="1" s="1"/>
  <c r="O38" i="1"/>
  <c r="O39" i="1" s="1"/>
  <c r="Q38" i="1"/>
  <c r="Q39" i="1" s="1"/>
  <c r="S38" i="1"/>
  <c r="S39" i="1" s="1"/>
  <c r="AV199" i="1"/>
  <c r="C61" i="1"/>
  <c r="AT61" i="1"/>
  <c r="AV61" i="1"/>
  <c r="AX61" i="1"/>
  <c r="AF71" i="1"/>
  <c r="AF74" i="1" s="1"/>
  <c r="AF91" i="1" s="1"/>
  <c r="AF92" i="1" s="1"/>
  <c r="AL91" i="1"/>
  <c r="AL92" i="1" s="1"/>
  <c r="AN91" i="1"/>
  <c r="AN92" i="1" s="1"/>
  <c r="AP91" i="1"/>
  <c r="AP92" i="1" s="1"/>
  <c r="AR91" i="1"/>
  <c r="AR92" i="1" s="1"/>
  <c r="AT91" i="1"/>
  <c r="AT92" i="1" s="1"/>
  <c r="AV91" i="1"/>
  <c r="AV92" i="1" s="1"/>
  <c r="AX91" i="1"/>
  <c r="AX92" i="1" s="1"/>
  <c r="D225" i="1"/>
  <c r="D91" i="1"/>
  <c r="D92" i="1" s="1"/>
  <c r="D79" i="1"/>
  <c r="D84" i="1" s="1"/>
  <c r="C87" i="1"/>
  <c r="C88" i="1" s="1"/>
  <c r="G87" i="1"/>
  <c r="G88" i="1" s="1"/>
  <c r="I87" i="1"/>
  <c r="I88" i="1" s="1"/>
  <c r="K87" i="1"/>
  <c r="K88" i="1" s="1"/>
  <c r="M87" i="1"/>
  <c r="M88" i="1" s="1"/>
  <c r="O87" i="1"/>
  <c r="O88" i="1" s="1"/>
  <c r="Q87" i="1"/>
  <c r="Q88" i="1" s="1"/>
  <c r="S87" i="1"/>
  <c r="S88" i="1" s="1"/>
  <c r="AA199" i="1"/>
  <c r="AG199" i="1"/>
  <c r="AI199" i="1"/>
  <c r="AZ199" i="1"/>
  <c r="D204" i="1"/>
  <c r="F204" i="1"/>
  <c r="H204" i="1"/>
  <c r="J204" i="1"/>
  <c r="L204" i="1"/>
  <c r="N204" i="1"/>
  <c r="P204" i="1"/>
  <c r="R204" i="1"/>
  <c r="T204" i="1"/>
  <c r="V204" i="1"/>
  <c r="X204" i="1"/>
  <c r="Z204" i="1"/>
  <c r="AB204" i="1"/>
  <c r="AD204" i="1"/>
  <c r="AF204" i="1"/>
  <c r="AH204" i="1"/>
  <c r="AJ204" i="1"/>
  <c r="AL204" i="1"/>
  <c r="AN204" i="1"/>
  <c r="AP204" i="1"/>
  <c r="AR204" i="1"/>
  <c r="AT204" i="1"/>
  <c r="AV204" i="1"/>
  <c r="AX204" i="1"/>
  <c r="AZ204" i="1"/>
  <c r="C112" i="1"/>
  <c r="E112" i="1"/>
  <c r="G112" i="1"/>
  <c r="I112" i="1"/>
  <c r="K112" i="1"/>
  <c r="M112" i="1"/>
  <c r="O112" i="1"/>
  <c r="Q112" i="1"/>
  <c r="S112" i="1"/>
  <c r="U112" i="1"/>
  <c r="W112" i="1"/>
  <c r="Y112" i="1"/>
  <c r="AA112" i="1"/>
  <c r="AC112" i="1"/>
  <c r="AE112" i="1"/>
  <c r="AG112" i="1"/>
  <c r="AI112" i="1"/>
  <c r="AK112" i="1"/>
  <c r="AM112" i="1"/>
  <c r="AO112" i="1"/>
  <c r="AQ112" i="1"/>
  <c r="AS112" i="1"/>
  <c r="AU112" i="1"/>
  <c r="AW112" i="1"/>
  <c r="AY112" i="1"/>
  <c r="C212" i="1"/>
  <c r="C236" i="1" s="1"/>
  <c r="C237" i="1" s="1"/>
  <c r="E212" i="1"/>
  <c r="E236" i="1" s="1"/>
  <c r="E237" i="1" s="1"/>
  <c r="G212" i="1"/>
  <c r="G236" i="1" s="1"/>
  <c r="G237" i="1" s="1"/>
  <c r="I212" i="1"/>
  <c r="I236" i="1" s="1"/>
  <c r="I237" i="1" s="1"/>
  <c r="K212" i="1"/>
  <c r="K236" i="1" s="1"/>
  <c r="K237" i="1" s="1"/>
  <c r="M212" i="1"/>
  <c r="M236" i="1" s="1"/>
  <c r="M237" i="1" s="1"/>
  <c r="O212" i="1"/>
  <c r="O236" i="1" s="1"/>
  <c r="O237" i="1" s="1"/>
  <c r="Q212" i="1"/>
  <c r="Q236" i="1" s="1"/>
  <c r="Q237" i="1" s="1"/>
  <c r="S212" i="1"/>
  <c r="S236" i="1" s="1"/>
  <c r="S237" i="1" s="1"/>
  <c r="U212" i="1"/>
  <c r="U236" i="1" s="1"/>
  <c r="U237" i="1" s="1"/>
  <c r="W212" i="1"/>
  <c r="W236" i="1" s="1"/>
  <c r="W237" i="1" s="1"/>
  <c r="Y212" i="1"/>
  <c r="Y236" i="1" s="1"/>
  <c r="Y237" i="1" s="1"/>
  <c r="AA212" i="1"/>
  <c r="AA236" i="1" s="1"/>
  <c r="AA237" i="1" s="1"/>
  <c r="AC212" i="1"/>
  <c r="AC236" i="1" s="1"/>
  <c r="AC237" i="1" s="1"/>
  <c r="AE212" i="1"/>
  <c r="AE236" i="1" s="1"/>
  <c r="AE237" i="1" s="1"/>
  <c r="AG212" i="1"/>
  <c r="AG236" i="1" s="1"/>
  <c r="AG237" i="1" s="1"/>
  <c r="AI212" i="1"/>
  <c r="AI236" i="1" s="1"/>
  <c r="AI237" i="1" s="1"/>
  <c r="AK212" i="1"/>
  <c r="AK236" i="1" s="1"/>
  <c r="AK237" i="1" s="1"/>
  <c r="AM212" i="1"/>
  <c r="AM236" i="1" s="1"/>
  <c r="AM237" i="1" s="1"/>
  <c r="AO212" i="1"/>
  <c r="AO236" i="1" s="1"/>
  <c r="AO237" i="1" s="1"/>
  <c r="AQ212" i="1"/>
  <c r="AQ236" i="1" s="1"/>
  <c r="AQ237" i="1" s="1"/>
  <c r="AS212" i="1"/>
  <c r="AS236" i="1" s="1"/>
  <c r="AS237" i="1" s="1"/>
  <c r="AU212" i="1"/>
  <c r="AU236" i="1" s="1"/>
  <c r="AU237" i="1" s="1"/>
  <c r="AW212" i="1"/>
  <c r="AY236" i="1"/>
  <c r="AY237" i="1" s="1"/>
  <c r="AY212" i="1"/>
  <c r="U218" i="1"/>
  <c r="U221" i="1" s="1"/>
  <c r="W218" i="1"/>
  <c r="W221" i="1" s="1"/>
  <c r="Y218" i="1"/>
  <c r="Y221" i="1" s="1"/>
  <c r="AA218" i="1"/>
  <c r="AA221" i="1" s="1"/>
  <c r="AC218" i="1"/>
  <c r="AC221" i="1" s="1"/>
  <c r="AE218" i="1"/>
  <c r="AE221" i="1" s="1"/>
  <c r="AG218" i="1"/>
  <c r="AG221" i="1" s="1"/>
  <c r="AI218" i="1"/>
  <c r="AI221" i="1" s="1"/>
  <c r="AK218" i="1"/>
  <c r="AK221" i="1" s="1"/>
  <c r="AF219" i="1"/>
  <c r="AF221" i="1" s="1"/>
  <c r="U125" i="1"/>
  <c r="W125" i="1"/>
  <c r="Y125" i="1"/>
  <c r="AA125" i="1"/>
  <c r="AC125" i="1"/>
  <c r="AE125" i="1"/>
  <c r="AG125" i="1"/>
  <c r="AI125" i="1"/>
  <c r="AK125" i="1"/>
  <c r="AZ224" i="1"/>
  <c r="D138" i="1"/>
  <c r="D139" i="1" s="1"/>
  <c r="F138" i="1"/>
  <c r="F139" i="1" s="1"/>
  <c r="H138" i="1"/>
  <c r="H139" i="1" s="1"/>
  <c r="J138" i="1"/>
  <c r="J139" i="1" s="1"/>
  <c r="L138" i="1"/>
  <c r="L139" i="1" s="1"/>
  <c r="N138" i="1"/>
  <c r="N139" i="1" s="1"/>
  <c r="P138" i="1"/>
  <c r="P139" i="1" s="1"/>
  <c r="R138" i="1"/>
  <c r="R139" i="1" s="1"/>
  <c r="T138" i="1"/>
  <c r="T139" i="1" s="1"/>
  <c r="AZ138" i="1"/>
  <c r="AZ139" i="1" s="1"/>
  <c r="AV141" i="1"/>
  <c r="AX141" i="1"/>
  <c r="AY243" i="1"/>
  <c r="AY147" i="1"/>
  <c r="AB199" i="1"/>
  <c r="AH199" i="1"/>
  <c r="AJ199" i="1"/>
  <c r="C204" i="1"/>
  <c r="C216" i="1" s="1"/>
  <c r="E204" i="1"/>
  <c r="E216" i="1" s="1"/>
  <c r="G204" i="1"/>
  <c r="G216" i="1" s="1"/>
  <c r="I204" i="1"/>
  <c r="I216" i="1" s="1"/>
  <c r="K204" i="1"/>
  <c r="K216" i="1" s="1"/>
  <c r="M204" i="1"/>
  <c r="M216" i="1" s="1"/>
  <c r="O204" i="1"/>
  <c r="O216" i="1" s="1"/>
  <c r="Q204" i="1"/>
  <c r="Q216" i="1" s="1"/>
  <c r="S204" i="1"/>
  <c r="S216" i="1" s="1"/>
  <c r="U204" i="1"/>
  <c r="U216" i="1" s="1"/>
  <c r="W204" i="1"/>
  <c r="W216" i="1" s="1"/>
  <c r="Y204" i="1"/>
  <c r="Y216" i="1" s="1"/>
  <c r="AA204" i="1"/>
  <c r="AA216" i="1" s="1"/>
  <c r="AC204" i="1"/>
  <c r="AC216" i="1" s="1"/>
  <c r="AE204" i="1"/>
  <c r="AE216" i="1" s="1"/>
  <c r="AG204" i="1"/>
  <c r="AG216" i="1" s="1"/>
  <c r="AI204" i="1"/>
  <c r="AI216" i="1" s="1"/>
  <c r="AK204" i="1"/>
  <c r="AK216" i="1" s="1"/>
  <c r="AM204" i="1"/>
  <c r="AM216" i="1" s="1"/>
  <c r="AO204" i="1"/>
  <c r="AO216" i="1" s="1"/>
  <c r="AQ204" i="1"/>
  <c r="AQ216" i="1" s="1"/>
  <c r="AS204" i="1"/>
  <c r="AS216" i="1" s="1"/>
  <c r="AU204" i="1"/>
  <c r="AU216" i="1" s="1"/>
  <c r="AW204" i="1"/>
  <c r="AW216" i="1" s="1"/>
  <c r="AY204" i="1"/>
  <c r="AY216" i="1" s="1"/>
  <c r="D112" i="1"/>
  <c r="F112" i="1"/>
  <c r="H112" i="1"/>
  <c r="J112" i="1"/>
  <c r="L112" i="1"/>
  <c r="N112" i="1"/>
  <c r="P112" i="1"/>
  <c r="R112" i="1"/>
  <c r="T112" i="1"/>
  <c r="V112" i="1"/>
  <c r="X112" i="1"/>
  <c r="Z112" i="1"/>
  <c r="AB112" i="1"/>
  <c r="AD112" i="1"/>
  <c r="AF112" i="1"/>
  <c r="AH112" i="1"/>
  <c r="AJ112" i="1"/>
  <c r="AL112" i="1"/>
  <c r="AN112" i="1"/>
  <c r="AP112" i="1"/>
  <c r="AR112" i="1"/>
  <c r="AT112" i="1"/>
  <c r="AV112" i="1"/>
  <c r="AX112" i="1"/>
  <c r="D212" i="1"/>
  <c r="D208" i="1" s="1"/>
  <c r="F212" i="1"/>
  <c r="F208" i="1" s="1"/>
  <c r="H212" i="1"/>
  <c r="H208" i="1" s="1"/>
  <c r="J212" i="1"/>
  <c r="J208" i="1" s="1"/>
  <c r="L212" i="1"/>
  <c r="L208" i="1" s="1"/>
  <c r="N212" i="1"/>
  <c r="N208" i="1" s="1"/>
  <c r="P212" i="1"/>
  <c r="P208" i="1" s="1"/>
  <c r="R212" i="1"/>
  <c r="R208" i="1" s="1"/>
  <c r="T212" i="1"/>
  <c r="T208" i="1" s="1"/>
  <c r="V212" i="1"/>
  <c r="V208" i="1" s="1"/>
  <c r="X212" i="1"/>
  <c r="X208" i="1" s="1"/>
  <c r="Z212" i="1"/>
  <c r="Z208" i="1" s="1"/>
  <c r="AB212" i="1"/>
  <c r="AB208" i="1" s="1"/>
  <c r="AD212" i="1"/>
  <c r="AD208" i="1" s="1"/>
  <c r="AF212" i="1"/>
  <c r="AF208" i="1" s="1"/>
  <c r="AH212" i="1"/>
  <c r="AH208" i="1" s="1"/>
  <c r="AJ212" i="1"/>
  <c r="AJ208" i="1" s="1"/>
  <c r="AL212" i="1"/>
  <c r="AL208" i="1" s="1"/>
  <c r="AN212" i="1"/>
  <c r="AN208" i="1" s="1"/>
  <c r="AP212" i="1"/>
  <c r="AP208" i="1" s="1"/>
  <c r="AR212" i="1"/>
  <c r="AR208" i="1" s="1"/>
  <c r="AT212" i="1"/>
  <c r="AT208" i="1" s="1"/>
  <c r="AV212" i="1"/>
  <c r="AV208" i="1" s="1"/>
  <c r="AX212" i="1"/>
  <c r="AX208" i="1" s="1"/>
  <c r="D120" i="1"/>
  <c r="D216" i="1" s="1"/>
  <c r="F120" i="1"/>
  <c r="F216" i="1" s="1"/>
  <c r="H120" i="1"/>
  <c r="H216" i="1" s="1"/>
  <c r="J120" i="1"/>
  <c r="J216" i="1" s="1"/>
  <c r="L120" i="1"/>
  <c r="L216" i="1" s="1"/>
  <c r="N120" i="1"/>
  <c r="N216" i="1" s="1"/>
  <c r="P120" i="1"/>
  <c r="P216" i="1" s="1"/>
  <c r="R120" i="1"/>
  <c r="R216" i="1" s="1"/>
  <c r="T120" i="1"/>
  <c r="T216" i="1" s="1"/>
  <c r="V120" i="1"/>
  <c r="V216" i="1" s="1"/>
  <c r="X120" i="1"/>
  <c r="X216" i="1" s="1"/>
  <c r="Z120" i="1"/>
  <c r="Z216" i="1" s="1"/>
  <c r="AB120" i="1"/>
  <c r="AB216" i="1" s="1"/>
  <c r="AD120" i="1"/>
  <c r="AD216" i="1" s="1"/>
  <c r="AF120" i="1"/>
  <c r="AF216" i="1" s="1"/>
  <c r="AH120" i="1"/>
  <c r="AH216" i="1" s="1"/>
  <c r="AJ120" i="1"/>
  <c r="AJ216" i="1" s="1"/>
  <c r="AL120" i="1"/>
  <c r="AL216" i="1" s="1"/>
  <c r="AN120" i="1"/>
  <c r="AN216" i="1" s="1"/>
  <c r="AP120" i="1"/>
  <c r="AP216" i="1" s="1"/>
  <c r="AR120" i="1"/>
  <c r="AR216" i="1" s="1"/>
  <c r="AT120" i="1"/>
  <c r="AT216" i="1" s="1"/>
  <c r="AV120" i="1"/>
  <c r="AV216" i="1" s="1"/>
  <c r="AX120" i="1"/>
  <c r="AX216" i="1" s="1"/>
  <c r="AZ120" i="1"/>
  <c r="AZ216" i="1" s="1"/>
  <c r="V218" i="1"/>
  <c r="V221" i="1" s="1"/>
  <c r="X218" i="1"/>
  <c r="X221" i="1" s="1"/>
  <c r="Z218" i="1"/>
  <c r="Z221" i="1" s="1"/>
  <c r="AB218" i="1"/>
  <c r="AD218" i="1"/>
  <c r="AD221" i="1" s="1"/>
  <c r="AF218" i="1"/>
  <c r="AH218" i="1"/>
  <c r="AH221" i="1" s="1"/>
  <c r="AJ218" i="1"/>
  <c r="AB219" i="1"/>
  <c r="AB221" i="1" s="1"/>
  <c r="AJ219" i="1"/>
  <c r="AJ221" i="1" s="1"/>
  <c r="V125" i="1"/>
  <c r="X125" i="1"/>
  <c r="Z125" i="1"/>
  <c r="AB125" i="1"/>
  <c r="AD125" i="1"/>
  <c r="AF125" i="1"/>
  <c r="AH125" i="1"/>
  <c r="AJ125" i="1"/>
  <c r="AZ225" i="1"/>
  <c r="AZ130" i="1"/>
  <c r="C138" i="1"/>
  <c r="C139" i="1" s="1"/>
  <c r="E138" i="1"/>
  <c r="E139" i="1" s="1"/>
  <c r="G138" i="1"/>
  <c r="G139" i="1" s="1"/>
  <c r="I138" i="1"/>
  <c r="I139" i="1" s="1"/>
  <c r="K138" i="1"/>
  <c r="K139" i="1" s="1"/>
  <c r="M138" i="1"/>
  <c r="M139" i="1" s="1"/>
  <c r="O138" i="1"/>
  <c r="O139" i="1" s="1"/>
  <c r="Q138" i="1"/>
  <c r="Q139" i="1" s="1"/>
  <c r="S138" i="1"/>
  <c r="S139" i="1" s="1"/>
  <c r="U138" i="1"/>
  <c r="U139" i="1" s="1"/>
  <c r="W138" i="1"/>
  <c r="W139" i="1" s="1"/>
  <c r="Y138" i="1"/>
  <c r="Y139" i="1" s="1"/>
  <c r="AA138" i="1"/>
  <c r="AA139" i="1" s="1"/>
  <c r="AC138" i="1"/>
  <c r="AC139" i="1" s="1"/>
  <c r="AE138" i="1"/>
  <c r="AE139" i="1" s="1"/>
  <c r="AG138" i="1"/>
  <c r="AG139" i="1" s="1"/>
  <c r="AI138" i="1"/>
  <c r="AI139" i="1" s="1"/>
  <c r="AK138" i="1"/>
  <c r="AK139" i="1" s="1"/>
  <c r="AM138" i="1"/>
  <c r="AM139" i="1" s="1"/>
  <c r="AO138" i="1"/>
  <c r="AO139" i="1" s="1"/>
  <c r="AQ138" i="1"/>
  <c r="AQ139" i="1" s="1"/>
  <c r="AS138" i="1"/>
  <c r="AS139" i="1" s="1"/>
  <c r="AU138" i="1"/>
  <c r="AU139" i="1" s="1"/>
  <c r="AW138" i="1"/>
  <c r="AW139" i="1" s="1"/>
  <c r="AY138" i="1"/>
  <c r="AY139" i="1" s="1"/>
  <c r="AU141" i="1"/>
  <c r="AW141" i="1"/>
  <c r="AY141" i="1"/>
  <c r="C142" i="1"/>
  <c r="C143" i="1" s="1"/>
  <c r="E142" i="1"/>
  <c r="E143" i="1" s="1"/>
  <c r="G142" i="1"/>
  <c r="G143" i="1" s="1"/>
  <c r="I142" i="1"/>
  <c r="I143" i="1" s="1"/>
  <c r="K142" i="1"/>
  <c r="K143" i="1" s="1"/>
  <c r="M142" i="1"/>
  <c r="M143" i="1" s="1"/>
  <c r="O142" i="1"/>
  <c r="O143" i="1" s="1"/>
  <c r="Q142" i="1"/>
  <c r="Q143" i="1" s="1"/>
  <c r="S142" i="1"/>
  <c r="S143" i="1" s="1"/>
  <c r="AM142" i="1"/>
  <c r="AM143" i="1" s="1"/>
  <c r="AO142" i="1"/>
  <c r="AO143" i="1" s="1"/>
  <c r="AQ142" i="1"/>
  <c r="AQ143" i="1" s="1"/>
  <c r="AS142" i="1"/>
  <c r="AS143" i="1" s="1"/>
  <c r="AU142" i="1"/>
  <c r="AU143" i="1" s="1"/>
  <c r="AW142" i="1"/>
  <c r="AW143" i="1" s="1"/>
  <c r="AZ164" i="1"/>
  <c r="C206" i="1"/>
  <c r="E206" i="1"/>
  <c r="G206" i="1"/>
  <c r="I206" i="1"/>
  <c r="K206" i="1"/>
  <c r="M206" i="1"/>
  <c r="O206" i="1"/>
  <c r="Q206" i="1"/>
  <c r="S206" i="1"/>
  <c r="U206" i="1"/>
  <c r="W206" i="1"/>
  <c r="Y206" i="1"/>
  <c r="AA206" i="1"/>
  <c r="AC206" i="1"/>
  <c r="AE206" i="1"/>
  <c r="AG206" i="1"/>
  <c r="AI206" i="1"/>
  <c r="AK206" i="1"/>
  <c r="AM206" i="1"/>
  <c r="AO206" i="1"/>
  <c r="AQ206" i="1"/>
  <c r="AS206" i="1"/>
  <c r="AU206" i="1"/>
  <c r="AW206" i="1"/>
  <c r="AY206" i="1"/>
  <c r="C207" i="1"/>
  <c r="E207" i="1"/>
  <c r="G207" i="1"/>
  <c r="I207" i="1"/>
  <c r="K207" i="1"/>
  <c r="M207" i="1"/>
  <c r="O207" i="1"/>
  <c r="Q207" i="1"/>
  <c r="S207" i="1"/>
  <c r="U207" i="1"/>
  <c r="W207" i="1"/>
  <c r="Y207" i="1"/>
  <c r="AA207" i="1"/>
  <c r="AC207" i="1"/>
  <c r="AE207" i="1"/>
  <c r="AG207" i="1"/>
  <c r="AI207" i="1"/>
  <c r="AK207" i="1"/>
  <c r="AM207" i="1"/>
  <c r="AO207" i="1"/>
  <c r="AQ207" i="1"/>
  <c r="AS207" i="1"/>
  <c r="AU207" i="1"/>
  <c r="AW207" i="1"/>
  <c r="AY207" i="1"/>
  <c r="D214" i="1"/>
  <c r="H214" i="1"/>
  <c r="L214" i="1"/>
  <c r="P214" i="1"/>
  <c r="T214" i="1"/>
  <c r="X214" i="1"/>
  <c r="AB214" i="1"/>
  <c r="C234" i="1"/>
  <c r="C235" i="1" s="1"/>
  <c r="E234" i="1"/>
  <c r="E235" i="1" s="1"/>
  <c r="G234" i="1"/>
  <c r="G235" i="1" s="1"/>
  <c r="I234" i="1"/>
  <c r="I235" i="1" s="1"/>
  <c r="K234" i="1"/>
  <c r="K235" i="1" s="1"/>
  <c r="M234" i="1"/>
  <c r="M235" i="1" s="1"/>
  <c r="O234" i="1"/>
  <c r="O235" i="1" s="1"/>
  <c r="Q234" i="1"/>
  <c r="Q235" i="1" s="1"/>
  <c r="S234" i="1"/>
  <c r="S235" i="1" s="1"/>
  <c r="U234" i="1"/>
  <c r="U235" i="1" s="1"/>
  <c r="W234" i="1"/>
  <c r="W235" i="1" s="1"/>
  <c r="Y234" i="1"/>
  <c r="Y235" i="1" s="1"/>
  <c r="AA234" i="1"/>
  <c r="AA235" i="1" s="1"/>
  <c r="AC234" i="1"/>
  <c r="AC235" i="1" s="1"/>
  <c r="AE234" i="1"/>
  <c r="AE235" i="1" s="1"/>
  <c r="F206" i="1"/>
  <c r="J206" i="1"/>
  <c r="N206" i="1"/>
  <c r="R206" i="1"/>
  <c r="V206" i="1"/>
  <c r="Z206" i="1"/>
  <c r="AD206" i="1"/>
  <c r="AF206" i="1"/>
  <c r="AH206" i="1"/>
  <c r="AJ206" i="1"/>
  <c r="AL206" i="1"/>
  <c r="AN206" i="1"/>
  <c r="AP206" i="1"/>
  <c r="AR206" i="1"/>
  <c r="AT206" i="1"/>
  <c r="AV206" i="1"/>
  <c r="AX206" i="1"/>
  <c r="D207" i="1"/>
  <c r="F207" i="1"/>
  <c r="H207" i="1"/>
  <c r="J207" i="1"/>
  <c r="L207" i="1"/>
  <c r="N207" i="1"/>
  <c r="P207" i="1"/>
  <c r="R207" i="1"/>
  <c r="T207" i="1"/>
  <c r="V207" i="1"/>
  <c r="X207" i="1"/>
  <c r="Z207" i="1"/>
  <c r="AB207" i="1"/>
  <c r="AD207" i="1"/>
  <c r="AF207" i="1"/>
  <c r="AH207" i="1"/>
  <c r="AJ207" i="1"/>
  <c r="AL207" i="1"/>
  <c r="AN207" i="1"/>
  <c r="AP207" i="1"/>
  <c r="AR207" i="1"/>
  <c r="AT207" i="1"/>
  <c r="AV207" i="1"/>
  <c r="AX207" i="1"/>
  <c r="AZ207" i="1"/>
  <c r="D234" i="1"/>
  <c r="D235" i="1" s="1"/>
  <c r="F234" i="1"/>
  <c r="F235" i="1" s="1"/>
  <c r="H234" i="1"/>
  <c r="H235" i="1" s="1"/>
  <c r="J234" i="1"/>
  <c r="J235" i="1" s="1"/>
  <c r="L234" i="1"/>
  <c r="L235" i="1" s="1"/>
  <c r="AG234" i="1"/>
  <c r="AG235" i="1" s="1"/>
  <c r="AI234" i="1"/>
  <c r="AI235" i="1" s="1"/>
  <c r="AK234" i="1"/>
  <c r="AK235" i="1" s="1"/>
  <c r="AM234" i="1"/>
  <c r="AM235" i="1" s="1"/>
  <c r="AO234" i="1"/>
  <c r="AO235" i="1" s="1"/>
  <c r="AQ234" i="1"/>
  <c r="AS234" i="1"/>
  <c r="AU234" i="1"/>
  <c r="AW234" i="1"/>
  <c r="AY234" i="1"/>
  <c r="C238" i="1"/>
  <c r="C239" i="1" s="1"/>
  <c r="G238" i="1"/>
  <c r="G239" i="1" s="1"/>
  <c r="I238" i="1"/>
  <c r="I239" i="1" s="1"/>
  <c r="K238" i="1"/>
  <c r="K239" i="1" s="1"/>
  <c r="M238" i="1"/>
  <c r="M239" i="1" s="1"/>
  <c r="O238" i="1"/>
  <c r="O239" i="1" s="1"/>
  <c r="Q238" i="1"/>
  <c r="Q239" i="1" s="1"/>
  <c r="S238" i="1"/>
  <c r="S239" i="1" s="1"/>
  <c r="AM238" i="1"/>
  <c r="AM239" i="1" s="1"/>
  <c r="AO238" i="1"/>
  <c r="AO239" i="1" s="1"/>
  <c r="AQ238" i="1"/>
  <c r="AQ239" i="1" s="1"/>
  <c r="AS238" i="1"/>
  <c r="AS239" i="1" s="1"/>
  <c r="AU238" i="1"/>
  <c r="AU239" i="1" s="1"/>
  <c r="AW239" i="1"/>
  <c r="C226" i="1"/>
  <c r="E226" i="1"/>
  <c r="G226" i="1"/>
  <c r="I226" i="1"/>
  <c r="K226" i="1"/>
  <c r="M226" i="1"/>
  <c r="O226" i="1"/>
  <c r="Q226" i="1"/>
  <c r="S226" i="1"/>
  <c r="U226" i="1"/>
  <c r="W226" i="1"/>
  <c r="Y226" i="1"/>
  <c r="AA226" i="1"/>
  <c r="AC226" i="1"/>
  <c r="AE226" i="1"/>
  <c r="AG226" i="1"/>
  <c r="AI226" i="1"/>
  <c r="AK226" i="1"/>
  <c r="AM226" i="1"/>
  <c r="AO226" i="1"/>
  <c r="AQ226" i="1"/>
  <c r="AS226" i="1"/>
  <c r="AU226" i="1"/>
  <c r="AW226" i="1"/>
  <c r="AY226" i="1"/>
  <c r="N234" i="1"/>
  <c r="N235" i="1" s="1"/>
  <c r="P234" i="1"/>
  <c r="P235" i="1" s="1"/>
  <c r="R234" i="1"/>
  <c r="R235" i="1" s="1"/>
  <c r="T234" i="1"/>
  <c r="T235" i="1" s="1"/>
  <c r="V234" i="1"/>
  <c r="V235" i="1" s="1"/>
  <c r="X234" i="1"/>
  <c r="X235" i="1" s="1"/>
  <c r="Z234" i="1"/>
  <c r="Z235" i="1" s="1"/>
  <c r="AB234" i="1"/>
  <c r="AB235" i="1" s="1"/>
  <c r="AD234" i="1"/>
  <c r="AD235" i="1" s="1"/>
  <c r="AF234" i="1"/>
  <c r="AF235" i="1" s="1"/>
  <c r="AH234" i="1"/>
  <c r="AH235" i="1" s="1"/>
  <c r="AJ234" i="1"/>
  <c r="AJ235" i="1" s="1"/>
  <c r="AL234" i="1"/>
  <c r="AL235" i="1" s="1"/>
  <c r="AN234" i="1"/>
  <c r="AN235" i="1" s="1"/>
  <c r="AP234" i="1"/>
  <c r="AP235" i="1" s="1"/>
  <c r="AR234" i="1"/>
  <c r="AT234" i="1"/>
  <c r="AV234" i="1"/>
  <c r="AX234" i="1"/>
  <c r="F238" i="1"/>
  <c r="F239" i="1" s="1"/>
  <c r="H238" i="1"/>
  <c r="H239" i="1" s="1"/>
  <c r="J238" i="1"/>
  <c r="J239" i="1" s="1"/>
  <c r="L238" i="1"/>
  <c r="L239" i="1" s="1"/>
  <c r="N238" i="1"/>
  <c r="N239" i="1" s="1"/>
  <c r="P238" i="1"/>
  <c r="P239" i="1" s="1"/>
  <c r="R238" i="1"/>
  <c r="R239" i="1" s="1"/>
  <c r="T238" i="1"/>
  <c r="T239" i="1" s="1"/>
  <c r="AL238" i="1"/>
  <c r="AL239" i="1" s="1"/>
  <c r="AN238" i="1"/>
  <c r="AN239" i="1" s="1"/>
  <c r="AP238" i="1"/>
  <c r="AP239" i="1" s="1"/>
  <c r="AR238" i="1"/>
  <c r="AR239" i="1" s="1"/>
  <c r="AT238" i="1"/>
  <c r="AT239" i="1" s="1"/>
  <c r="AV238" i="1"/>
  <c r="AV239" i="1" s="1"/>
  <c r="AX239" i="1"/>
  <c r="D226" i="1"/>
  <c r="F226" i="1"/>
  <c r="H226" i="1"/>
  <c r="J226" i="1"/>
  <c r="L226" i="1"/>
  <c r="N226" i="1"/>
  <c r="P226" i="1"/>
  <c r="R226" i="1"/>
  <c r="T226" i="1"/>
  <c r="V226" i="1"/>
  <c r="X226" i="1"/>
  <c r="Z226" i="1"/>
  <c r="AB226" i="1"/>
  <c r="AD226" i="1"/>
  <c r="AF226" i="1"/>
  <c r="AH226" i="1"/>
  <c r="AJ226" i="1"/>
  <c r="AL226" i="1"/>
  <c r="AN226" i="1"/>
  <c r="AP226" i="1"/>
  <c r="AR226" i="1"/>
  <c r="AT226" i="1"/>
  <c r="AV226" i="1"/>
  <c r="AX226" i="1"/>
  <c r="AT236" i="1" l="1"/>
  <c r="AT237" i="1" s="1"/>
  <c r="AR236" i="1"/>
  <c r="AR237" i="1" s="1"/>
  <c r="AP236" i="1"/>
  <c r="AP237" i="1" s="1"/>
  <c r="AN236" i="1"/>
  <c r="AN237" i="1" s="1"/>
  <c r="AL236" i="1"/>
  <c r="AL237" i="1" s="1"/>
  <c r="AJ236" i="1"/>
  <c r="AJ237" i="1" s="1"/>
  <c r="AH236" i="1"/>
  <c r="AH237" i="1" s="1"/>
  <c r="AF236" i="1"/>
  <c r="AF237" i="1" s="1"/>
  <c r="AD236" i="1"/>
  <c r="AD237" i="1" s="1"/>
  <c r="AB236" i="1"/>
  <c r="AB237" i="1" s="1"/>
  <c r="Z236" i="1"/>
  <c r="Z237" i="1" s="1"/>
  <c r="X236" i="1"/>
  <c r="X237" i="1" s="1"/>
  <c r="V236" i="1"/>
  <c r="V237" i="1" s="1"/>
  <c r="T236" i="1"/>
  <c r="T237" i="1" s="1"/>
  <c r="R236" i="1"/>
  <c r="R237" i="1" s="1"/>
  <c r="P236" i="1"/>
  <c r="P237" i="1" s="1"/>
  <c r="N236" i="1"/>
  <c r="N237" i="1" s="1"/>
  <c r="L236" i="1"/>
  <c r="L237" i="1" s="1"/>
  <c r="J236" i="1"/>
  <c r="J237" i="1" s="1"/>
  <c r="H236" i="1"/>
  <c r="H237" i="1" s="1"/>
  <c r="F236" i="1"/>
  <c r="F237" i="1" s="1"/>
  <c r="D236" i="1"/>
  <c r="D237" i="1" s="1"/>
  <c r="AX236" i="1"/>
  <c r="AX237" i="1" s="1"/>
  <c r="AW208" i="1"/>
  <c r="AV235" i="1"/>
  <c r="AY253" i="1"/>
  <c r="AY254" i="1" s="1"/>
  <c r="AY235" i="1"/>
  <c r="AU253" i="1"/>
  <c r="AU254" i="1" s="1"/>
  <c r="AU235" i="1"/>
  <c r="AQ253" i="1"/>
  <c r="AQ254" i="1" s="1"/>
  <c r="AQ235" i="1"/>
  <c r="AX235" i="1"/>
  <c r="AT253" i="1"/>
  <c r="AT254" i="1" s="1"/>
  <c r="AT235" i="1"/>
  <c r="AW235" i="1"/>
  <c r="AS253" i="1"/>
  <c r="AS254" i="1" s="1"/>
  <c r="AS235" i="1"/>
  <c r="AZ186" i="1"/>
  <c r="AZ135" i="1"/>
  <c r="AJ238" i="1"/>
  <c r="AJ239" i="1" s="1"/>
  <c r="AJ142" i="1"/>
  <c r="AJ143" i="1" s="1"/>
  <c r="AF238" i="1"/>
  <c r="AF239" i="1" s="1"/>
  <c r="AF142" i="1"/>
  <c r="AF143" i="1" s="1"/>
  <c r="AB238" i="1"/>
  <c r="AB239" i="1" s="1"/>
  <c r="AB142" i="1"/>
  <c r="AB143" i="1" s="1"/>
  <c r="X238" i="1"/>
  <c r="X239" i="1" s="1"/>
  <c r="X142" i="1"/>
  <c r="X143" i="1" s="1"/>
  <c r="AV236" i="1"/>
  <c r="AV237" i="1" s="1"/>
  <c r="AI238" i="1"/>
  <c r="AI239" i="1" s="1"/>
  <c r="AI142" i="1"/>
  <c r="AI143" i="1" s="1"/>
  <c r="AE238" i="1"/>
  <c r="AE239" i="1" s="1"/>
  <c r="AE142" i="1"/>
  <c r="AE143" i="1" s="1"/>
  <c r="AA238" i="1"/>
  <c r="AA239" i="1" s="1"/>
  <c r="AA142" i="1"/>
  <c r="AA143" i="1" s="1"/>
  <c r="W238" i="1"/>
  <c r="W239" i="1" s="1"/>
  <c r="W142" i="1"/>
  <c r="W143" i="1" s="1"/>
  <c r="AY208" i="1"/>
  <c r="AY241" i="1"/>
  <c r="AW236" i="1"/>
  <c r="AW237" i="1" s="1"/>
  <c r="AU208" i="1"/>
  <c r="AS208" i="1"/>
  <c r="AQ208" i="1"/>
  <c r="AO208" i="1"/>
  <c r="AM208" i="1"/>
  <c r="AK208" i="1"/>
  <c r="AI208" i="1"/>
  <c r="AG208" i="1"/>
  <c r="AE208" i="1"/>
  <c r="AC208" i="1"/>
  <c r="AA208" i="1"/>
  <c r="Y208" i="1"/>
  <c r="W208" i="1"/>
  <c r="U208" i="1"/>
  <c r="S208" i="1"/>
  <c r="Q208" i="1"/>
  <c r="O208" i="1"/>
  <c r="M208" i="1"/>
  <c r="K208" i="1"/>
  <c r="I208" i="1"/>
  <c r="G208" i="1"/>
  <c r="E208" i="1"/>
  <c r="C208" i="1"/>
  <c r="D238" i="1"/>
  <c r="D239" i="1" s="1"/>
  <c r="AR253" i="1"/>
  <c r="AR254" i="1" s="1"/>
  <c r="AR235" i="1"/>
  <c r="AH238" i="1"/>
  <c r="AH239" i="1" s="1"/>
  <c r="AH142" i="1"/>
  <c r="AH143" i="1" s="1"/>
  <c r="AD238" i="1"/>
  <c r="AD239" i="1" s="1"/>
  <c r="AD142" i="1"/>
  <c r="AD143" i="1" s="1"/>
  <c r="Z238" i="1"/>
  <c r="Z239" i="1" s="1"/>
  <c r="Z142" i="1"/>
  <c r="Z143" i="1" s="1"/>
  <c r="V238" i="1"/>
  <c r="V239" i="1" s="1"/>
  <c r="V142" i="1"/>
  <c r="V143" i="1" s="1"/>
  <c r="AZ212" i="1"/>
  <c r="AZ234" i="1"/>
  <c r="AZ226" i="1"/>
  <c r="AK238" i="1"/>
  <c r="AK239" i="1" s="1"/>
  <c r="AK142" i="1"/>
  <c r="AK143" i="1" s="1"/>
  <c r="AG238" i="1"/>
  <c r="AG239" i="1" s="1"/>
  <c r="AG142" i="1"/>
  <c r="AG143" i="1" s="1"/>
  <c r="AC238" i="1"/>
  <c r="AC239" i="1" s="1"/>
  <c r="AC142" i="1"/>
  <c r="AC143" i="1" s="1"/>
  <c r="Y238" i="1"/>
  <c r="Y239" i="1" s="1"/>
  <c r="Y142" i="1"/>
  <c r="Y143" i="1" s="1"/>
  <c r="U238" i="1"/>
  <c r="U239" i="1" s="1"/>
  <c r="U142" i="1"/>
  <c r="U143" i="1" s="1"/>
  <c r="E238" i="1"/>
  <c r="E239" i="1" s="1"/>
  <c r="AZ241" i="1" l="1"/>
  <c r="AZ243" i="1"/>
  <c r="AW241" i="1"/>
  <c r="AV242" i="1"/>
  <c r="AV241" i="1"/>
  <c r="AX242" i="1"/>
  <c r="AX241" i="1"/>
  <c r="AZ235" i="1"/>
  <c r="AZ208" i="1"/>
  <c r="AZ236" i="1"/>
  <c r="AZ237" i="1" s="1"/>
  <c r="AZ253" i="1" l="1"/>
  <c r="AZ254" i="1" s="1"/>
  <c r="AW243" i="1"/>
  <c r="AW253" i="1"/>
  <c r="AW254" i="1" s="1"/>
  <c r="AX243" i="1"/>
  <c r="AX253" i="1"/>
  <c r="AX254" i="1" s="1"/>
  <c r="AV243" i="1"/>
  <c r="AV253" i="1"/>
  <c r="AV254" i="1" s="1"/>
</calcChain>
</file>

<file path=xl/comments1.xml><?xml version="1.0" encoding="utf-8"?>
<comments xmlns="http://schemas.openxmlformats.org/spreadsheetml/2006/main">
  <authors>
    <author>Tony Doyle</author>
  </authors>
  <commentList>
    <comment ref="D16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was 10,252 kilograms</t>
        </r>
      </text>
    </comment>
    <comment ref="E16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was 10,972 kilograms</t>
        </r>
      </text>
    </comment>
    <comment ref="D65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8,444 kilograms</t>
        </r>
      </text>
    </comment>
    <comment ref="E65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9,062 kilograms</t>
        </r>
      </text>
    </comment>
    <comment ref="C77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Revenue from 4 shaft of R58.6m was capitalised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Revenue from 4 shaft of R72.3m was capitalised</t>
        </r>
      </text>
    </comment>
    <comment ref="L132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4 shaft of R426m</t>
        </r>
      </text>
    </comment>
    <comment ref="P132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Beatrix North and South of R124m</t>
        </r>
      </text>
    </comment>
    <comment ref="L180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4 shaft of R426m</t>
        </r>
      </text>
    </comment>
    <comment ref="P180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Beatrix North and South of R124m</t>
        </r>
      </text>
    </comment>
  </commentList>
</comments>
</file>

<file path=xl/sharedStrings.xml><?xml version="1.0" encoding="utf-8"?>
<sst xmlns="http://schemas.openxmlformats.org/spreadsheetml/2006/main" count="381" uniqueCount="117">
  <si>
    <t>Mar-02</t>
  </si>
  <si>
    <t>June-02</t>
  </si>
  <si>
    <t>Sep-02</t>
  </si>
  <si>
    <t>Dec-02</t>
  </si>
  <si>
    <t>Mar-03</t>
  </si>
  <si>
    <t>June-03</t>
  </si>
  <si>
    <t>Sep-03</t>
  </si>
  <si>
    <t>Dec-03</t>
  </si>
  <si>
    <t>Mar-04</t>
  </si>
  <si>
    <t>June-04</t>
  </si>
  <si>
    <t>Sep-04</t>
  </si>
  <si>
    <t>Dec-04</t>
  </si>
  <si>
    <t>Mar-05</t>
  </si>
  <si>
    <t>June-05</t>
  </si>
  <si>
    <t>Sep-05</t>
  </si>
  <si>
    <t>Dec-05</t>
  </si>
  <si>
    <t>Mar-06</t>
  </si>
  <si>
    <t>June-06</t>
  </si>
  <si>
    <t>Sep-06</t>
  </si>
  <si>
    <t>Dec-06</t>
  </si>
  <si>
    <t>Mar-07</t>
  </si>
  <si>
    <t>June-07</t>
  </si>
  <si>
    <t>Sep-07</t>
  </si>
  <si>
    <t>Dec-07</t>
  </si>
  <si>
    <t>Mar-08</t>
  </si>
  <si>
    <t>June-08</t>
  </si>
  <si>
    <t>Sep-08</t>
  </si>
  <si>
    <t>Dec-08</t>
  </si>
  <si>
    <t>Mar-09</t>
  </si>
  <si>
    <t>June-09</t>
  </si>
  <si>
    <t>Sep-09</t>
  </si>
  <si>
    <t>Dec-09</t>
  </si>
  <si>
    <t>Mar-10</t>
  </si>
  <si>
    <t>June-10</t>
  </si>
  <si>
    <t>Sep-10</t>
  </si>
  <si>
    <t>Dec-10</t>
  </si>
  <si>
    <t>Mar-11</t>
  </si>
  <si>
    <t>June-11</t>
  </si>
  <si>
    <t>Sep-11</t>
  </si>
  <si>
    <t>Dec-11</t>
  </si>
  <si>
    <t>Mar-12</t>
  </si>
  <si>
    <t>June-12</t>
  </si>
  <si>
    <t>Sep-12</t>
  </si>
  <si>
    <t>Dec-12</t>
  </si>
  <si>
    <t>Mar-13</t>
  </si>
  <si>
    <t>June-13</t>
  </si>
  <si>
    <t>Sep-13</t>
  </si>
  <si>
    <t>Mar-14</t>
  </si>
  <si>
    <t>June-14</t>
  </si>
  <si>
    <t>Driefontein</t>
  </si>
  <si>
    <t>Unbundled from Gold Fields on 18 February 2013</t>
  </si>
  <si>
    <t>Main development - metres</t>
  </si>
  <si>
    <t>Square metres mined - 000</t>
  </si>
  <si>
    <t>Ore milled (000 ton)</t>
  </si>
  <si>
    <t>Underground</t>
  </si>
  <si>
    <t>Surface</t>
  </si>
  <si>
    <t>Total</t>
  </si>
  <si>
    <t>Yield (g/t)</t>
  </si>
  <si>
    <t>Combined</t>
  </si>
  <si>
    <t>Gold produced (kilogram)</t>
  </si>
  <si>
    <t>Operating costs (Rand per ton)</t>
  </si>
  <si>
    <t>Note 1 below</t>
  </si>
  <si>
    <t>Capital expenditure (R'mil.)</t>
  </si>
  <si>
    <t>Ore reserve development</t>
  </si>
  <si>
    <t xml:space="preserve">Prior to the 1 July 2006 Ore Reserve Development (ORD) costs were expensed in the income statement     </t>
  </si>
  <si>
    <t>Sustaining capex</t>
  </si>
  <si>
    <t>Previously not published</t>
  </si>
  <si>
    <t>Major/growth projects</t>
  </si>
  <si>
    <t>Total capex</t>
  </si>
  <si>
    <t>Financial summary - R'mil.</t>
  </si>
  <si>
    <t>ORD capitalised from July 2006</t>
  </si>
  <si>
    <t>Revenue</t>
  </si>
  <si>
    <t>Operating costs</t>
  </si>
  <si>
    <t>Operating profit</t>
  </si>
  <si>
    <t>Amortisation</t>
  </si>
  <si>
    <t>Sundry/exceptionals</t>
  </si>
  <si>
    <t>Royalties</t>
  </si>
  <si>
    <t>Tax</t>
  </si>
  <si>
    <t>Net profit</t>
  </si>
  <si>
    <t>Unit revenue/costs</t>
  </si>
  <si>
    <t>Gold price - R/kg</t>
  </si>
  <si>
    <t>Gold price - US$/oz</t>
  </si>
  <si>
    <t>Total cash cost - R/kg</t>
  </si>
  <si>
    <t>Total cash cost - US$/oz</t>
  </si>
  <si>
    <t>Notional cash expenditure - R/kg</t>
  </si>
  <si>
    <t>n/a</t>
  </si>
  <si>
    <t>Notional cash expenditure - US$/oz</t>
  </si>
  <si>
    <t>All-in sustaining cost - R/kg</t>
  </si>
  <si>
    <t>All-in sustaining cost - US$/oz</t>
  </si>
  <si>
    <t>All-in cost - R/kg</t>
  </si>
  <si>
    <t>All-in cost - US$/oz</t>
  </si>
  <si>
    <t>Average exchange rate R/US$</t>
  </si>
  <si>
    <t>Kloof</t>
  </si>
  <si>
    <t>Beatrix</t>
  </si>
  <si>
    <t>Cooke</t>
  </si>
  <si>
    <t>NCE excludes corporate capital expenditure - add around US$2/oz per qtr.</t>
  </si>
  <si>
    <t>Note 1 - From Dec 2013 quarter:</t>
  </si>
  <si>
    <t>All-in costs includes corporate expenditure.</t>
  </si>
  <si>
    <t>Rehabilitation costs previously</t>
  </si>
  <si>
    <t>included in operating costs have</t>
  </si>
  <si>
    <t>been reclassified to finance expenses,</t>
  </si>
  <si>
    <t>resulting in lower Rand/ton costs of</t>
  </si>
  <si>
    <t>around R6/t or less than 1% for the Group.</t>
  </si>
  <si>
    <t>All-in profit</t>
  </si>
  <si>
    <t>All-in cost margin</t>
  </si>
  <si>
    <t>June month</t>
  </si>
  <si>
    <t>Sep-14</t>
  </si>
  <si>
    <t>Sibanye (operations only)</t>
  </si>
  <si>
    <t>Excludes Burnstone and Corporate</t>
  </si>
  <si>
    <t>Mar-15</t>
  </si>
  <si>
    <t>Impairment of R821m, reversed in the December 2014 qtr - at R474m.</t>
  </si>
  <si>
    <t>Jun-15</t>
  </si>
  <si>
    <t>Figures include Corporate/growth</t>
  </si>
  <si>
    <t>Figures may vary due to rounding's</t>
  </si>
  <si>
    <t>Total capital expenditure</t>
  </si>
  <si>
    <t>Sep-15</t>
  </si>
  <si>
    <t>Dec-15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</si>
</sst>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"/>
    <numFmt numFmtId="165" formatCode="#,##0.0;\(#,##0.0\)"/>
    <numFmt numFmtId="166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0" applyNumberFormat="1"/>
    <xf numFmtId="0" fontId="4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3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5" fontId="0" fillId="0" borderId="0" xfId="0" applyNumberFormat="1"/>
    <xf numFmtId="164" fontId="6" fillId="2" borderId="0" xfId="0" applyNumberFormat="1" applyFont="1" applyFill="1"/>
    <xf numFmtId="164" fontId="0" fillId="0" borderId="0" xfId="0" applyNumberFormat="1" applyFill="1"/>
    <xf numFmtId="164" fontId="5" fillId="0" borderId="0" xfId="0" applyNumberFormat="1" applyFont="1" applyFill="1"/>
    <xf numFmtId="165" fontId="5" fillId="0" borderId="1" xfId="0" applyNumberFormat="1" applyFont="1" applyFill="1" applyBorder="1"/>
    <xf numFmtId="165" fontId="5" fillId="0" borderId="2" xfId="0" applyNumberFormat="1" applyFont="1" applyFill="1" applyBorder="1"/>
    <xf numFmtId="165" fontId="5" fillId="0" borderId="2" xfId="0" applyNumberFormat="1" applyFont="1" applyFill="1" applyBorder="1" applyAlignment="1">
      <alignment horizontal="center"/>
    </xf>
    <xf numFmtId="165" fontId="5" fillId="0" borderId="3" xfId="0" applyNumberFormat="1" applyFont="1" applyFill="1" applyBorder="1"/>
    <xf numFmtId="165" fontId="5" fillId="2" borderId="0" xfId="0" applyNumberFormat="1" applyFont="1" applyFill="1"/>
    <xf numFmtId="165" fontId="0" fillId="2" borderId="0" xfId="0" applyNumberFormat="1" applyFill="1"/>
    <xf numFmtId="165" fontId="0" fillId="0" borderId="0" xfId="0" applyNumberFormat="1" applyFill="1"/>
    <xf numFmtId="165" fontId="5" fillId="0" borderId="0" xfId="0" applyNumberFormat="1" applyFont="1" applyFill="1"/>
    <xf numFmtId="165" fontId="2" fillId="0" borderId="0" xfId="0" applyNumberFormat="1" applyFont="1" applyFill="1"/>
    <xf numFmtId="0" fontId="7" fillId="0" borderId="0" xfId="0" applyFont="1"/>
    <xf numFmtId="164" fontId="5" fillId="2" borderId="0" xfId="0" applyNumberFormat="1" applyFont="1" applyFill="1"/>
    <xf numFmtId="165" fontId="5" fillId="0" borderId="4" xfId="0" applyNumberFormat="1" applyFont="1" applyFill="1" applyBorder="1"/>
    <xf numFmtId="165" fontId="0" fillId="0" borderId="4" xfId="0" applyNumberFormat="1" applyFill="1" applyBorder="1"/>
    <xf numFmtId="165" fontId="5" fillId="3" borderId="0" xfId="0" applyNumberFormat="1" applyFont="1" applyFill="1"/>
    <xf numFmtId="165" fontId="0" fillId="3" borderId="0" xfId="0" applyNumberFormat="1" applyFill="1"/>
    <xf numFmtId="165" fontId="5" fillId="0" borderId="5" xfId="0" applyNumberFormat="1" applyFont="1" applyFill="1" applyBorder="1"/>
    <xf numFmtId="165" fontId="0" fillId="0" borderId="5" xfId="0" applyNumberFormat="1" applyFill="1" applyBorder="1"/>
    <xf numFmtId="0" fontId="8" fillId="0" borderId="0" xfId="0" applyFont="1"/>
    <xf numFmtId="164" fontId="5" fillId="3" borderId="0" xfId="0" applyNumberFormat="1" applyFont="1" applyFill="1"/>
    <xf numFmtId="164" fontId="0" fillId="3" borderId="0" xfId="0" applyNumberFormat="1" applyFill="1"/>
    <xf numFmtId="166" fontId="0" fillId="0" borderId="0" xfId="0" applyNumberFormat="1"/>
    <xf numFmtId="166" fontId="5" fillId="0" borderId="0" xfId="0" applyNumberFormat="1" applyFont="1" applyFill="1"/>
    <xf numFmtId="166" fontId="0" fillId="0" borderId="0" xfId="0" applyNumberFormat="1" applyFill="1"/>
    <xf numFmtId="0" fontId="9" fillId="0" borderId="0" xfId="0" applyFont="1"/>
    <xf numFmtId="0" fontId="10" fillId="0" borderId="0" xfId="0" applyFont="1"/>
    <xf numFmtId="0" fontId="5" fillId="0" borderId="0" xfId="0" applyFont="1" applyFill="1"/>
    <xf numFmtId="0" fontId="0" fillId="0" borderId="0" xfId="0" applyFill="1"/>
    <xf numFmtId="0" fontId="5" fillId="0" borderId="0" xfId="0" applyFont="1"/>
    <xf numFmtId="164" fontId="6" fillId="0" borderId="0" xfId="0" applyNumberFormat="1" applyFont="1" applyFill="1"/>
    <xf numFmtId="2" fontId="0" fillId="0" borderId="0" xfId="0" applyNumberFormat="1"/>
    <xf numFmtId="164" fontId="0" fillId="0" borderId="4" xfId="0" applyNumberFormat="1" applyBorder="1"/>
    <xf numFmtId="165" fontId="0" fillId="0" borderId="4" xfId="0" applyNumberFormat="1" applyBorder="1"/>
    <xf numFmtId="0" fontId="5" fillId="3" borderId="0" xfId="0" applyFont="1" applyFill="1"/>
    <xf numFmtId="0" fontId="0" fillId="3" borderId="0" xfId="0" applyFill="1"/>
    <xf numFmtId="166" fontId="5" fillId="0" borderId="0" xfId="0" applyNumberFormat="1" applyFont="1"/>
    <xf numFmtId="9" fontId="0" fillId="0" borderId="0" xfId="1" applyFont="1"/>
    <xf numFmtId="0" fontId="2" fillId="0" borderId="0" xfId="0" applyFont="1"/>
    <xf numFmtId="165" fontId="5" fillId="0" borderId="4" xfId="0" applyNumberFormat="1" applyFont="1" applyBorder="1"/>
    <xf numFmtId="16" fontId="0" fillId="0" borderId="6" xfId="0" quotePrefix="1" applyNumberFormat="1" applyBorder="1" applyAlignment="1">
      <alignment horizontal="center"/>
    </xf>
    <xf numFmtId="16" fontId="0" fillId="0" borderId="7" xfId="0" quotePrefix="1" applyNumberFormat="1" applyBorder="1" applyAlignment="1">
      <alignment horizontal="center"/>
    </xf>
    <xf numFmtId="17" fontId="0" fillId="0" borderId="8" xfId="0" applyNumberFormat="1" applyBorder="1"/>
    <xf numFmtId="164" fontId="0" fillId="2" borderId="9" xfId="0" applyNumberFormat="1" applyFill="1" applyBorder="1"/>
    <xf numFmtId="164" fontId="0" fillId="0" borderId="0" xfId="0" applyNumberFormat="1" applyBorder="1"/>
    <xf numFmtId="164" fontId="0" fillId="0" borderId="10" xfId="0" applyNumberFormat="1" applyBorder="1"/>
    <xf numFmtId="164" fontId="0" fillId="0" borderId="9" xfId="0" applyNumberFormat="1" applyBorder="1"/>
    <xf numFmtId="166" fontId="0" fillId="0" borderId="9" xfId="0" applyNumberFormat="1" applyBorder="1"/>
    <xf numFmtId="166" fontId="0" fillId="0" borderId="0" xfId="0" applyNumberFormat="1" applyBorder="1"/>
    <xf numFmtId="166" fontId="0" fillId="0" borderId="10" xfId="0" applyNumberFormat="1" applyBorder="1"/>
    <xf numFmtId="164" fontId="0" fillId="0" borderId="9" xfId="0" applyNumberFormat="1" applyFill="1" applyBorder="1"/>
    <xf numFmtId="164" fontId="0" fillId="0" borderId="0" xfId="0" applyNumberFormat="1" applyFill="1" applyBorder="1"/>
    <xf numFmtId="164" fontId="0" fillId="0" borderId="10" xfId="0" applyNumberFormat="1" applyFill="1" applyBorder="1"/>
    <xf numFmtId="165" fontId="0" fillId="0" borderId="9" xfId="0" applyNumberFormat="1" applyFill="1" applyBorder="1"/>
    <xf numFmtId="165" fontId="0" fillId="0" borderId="0" xfId="0" applyNumberFormat="1" applyBorder="1"/>
    <xf numFmtId="165" fontId="0" fillId="0" borderId="10" xfId="0" applyNumberFormat="1" applyBorder="1"/>
    <xf numFmtId="165" fontId="0" fillId="0" borderId="0" xfId="0" applyNumberFormat="1" applyFill="1" applyBorder="1"/>
    <xf numFmtId="165" fontId="0" fillId="0" borderId="10" xfId="0" applyNumberFormat="1" applyFill="1" applyBorder="1"/>
    <xf numFmtId="165" fontId="0" fillId="0" borderId="11" xfId="0" applyNumberFormat="1" applyFill="1" applyBorder="1"/>
    <xf numFmtId="165" fontId="0" fillId="0" borderId="12" xfId="0" applyNumberFormat="1" applyFill="1" applyBorder="1"/>
    <xf numFmtId="165" fontId="0" fillId="0" borderId="13" xfId="0" applyNumberFormat="1" applyFill="1" applyBorder="1"/>
    <xf numFmtId="165" fontId="0" fillId="0" borderId="14" xfId="0" applyNumberFormat="1" applyFill="1" applyBorder="1"/>
    <xf numFmtId="164" fontId="0" fillId="0" borderId="9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6" fontId="0" fillId="0" borderId="9" xfId="0" applyNumberFormat="1" applyFill="1" applyBorder="1"/>
    <xf numFmtId="166" fontId="0" fillId="0" borderId="0" xfId="0" applyNumberFormat="1" applyFill="1" applyBorder="1"/>
    <xf numFmtId="166" fontId="0" fillId="0" borderId="10" xfId="0" applyNumberFormat="1" applyFill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9" xfId="0" applyFill="1" applyBorder="1"/>
    <xf numFmtId="165" fontId="0" fillId="0" borderId="9" xfId="0" applyNumberFormat="1" applyBorder="1"/>
    <xf numFmtId="164" fontId="6" fillId="0" borderId="9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9" xfId="0" applyNumberFormat="1" applyBorder="1"/>
    <xf numFmtId="2" fontId="0" fillId="0" borderId="0" xfId="0" applyNumberFormat="1" applyBorder="1"/>
    <xf numFmtId="2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9" fontId="0" fillId="0" borderId="9" xfId="1" applyFont="1" applyBorder="1"/>
    <xf numFmtId="9" fontId="0" fillId="0" borderId="0" xfId="1" applyFont="1" applyBorder="1"/>
    <xf numFmtId="9" fontId="0" fillId="0" borderId="10" xfId="1" applyFont="1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165" fontId="5" fillId="0" borderId="9" xfId="0" applyNumberFormat="1" applyFont="1" applyBorder="1"/>
    <xf numFmtId="165" fontId="5" fillId="0" borderId="0" xfId="0" applyNumberFormat="1" applyFont="1" applyBorder="1"/>
    <xf numFmtId="165" fontId="5" fillId="0" borderId="10" xfId="0" applyNumberFormat="1" applyFont="1" applyBorder="1"/>
    <xf numFmtId="164" fontId="0" fillId="0" borderId="0" xfId="0" applyNumberFormat="1" applyFill="1" applyAlignment="1">
      <alignment horizontal="center"/>
    </xf>
    <xf numFmtId="16" fontId="5" fillId="0" borderId="7" xfId="0" quotePrefix="1" applyNumberFormat="1" applyFont="1" applyBorder="1" applyAlignment="1">
      <alignment horizontal="center"/>
    </xf>
    <xf numFmtId="16" fontId="5" fillId="0" borderId="8" xfId="0" quotePrefix="1" applyNumberFormat="1" applyFont="1" applyBorder="1" applyAlignment="1">
      <alignment horizontal="center"/>
    </xf>
    <xf numFmtId="164" fontId="5" fillId="0" borderId="0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6" fontId="5" fillId="0" borderId="9" xfId="0" applyNumberFormat="1" applyFont="1" applyBorder="1"/>
    <xf numFmtId="166" fontId="5" fillId="0" borderId="0" xfId="0" applyNumberFormat="1" applyFont="1" applyBorder="1"/>
    <xf numFmtId="166" fontId="5" fillId="0" borderId="10" xfId="0" applyNumberFormat="1" applyFont="1" applyBorder="1"/>
    <xf numFmtId="164" fontId="5" fillId="0" borderId="9" xfId="0" applyNumberFormat="1" applyFont="1" applyFill="1" applyBorder="1"/>
    <xf numFmtId="164" fontId="5" fillId="0" borderId="0" xfId="0" applyNumberFormat="1" applyFont="1" applyFill="1" applyBorder="1"/>
    <xf numFmtId="164" fontId="5" fillId="0" borderId="10" xfId="0" applyNumberFormat="1" applyFont="1" applyFill="1" applyBorder="1"/>
    <xf numFmtId="165" fontId="5" fillId="0" borderId="9" xfId="0" applyNumberFormat="1" applyFont="1" applyFill="1" applyBorder="1"/>
    <xf numFmtId="165" fontId="5" fillId="0" borderId="0" xfId="0" applyNumberFormat="1" applyFont="1" applyFill="1" applyBorder="1"/>
    <xf numFmtId="165" fontId="5" fillId="0" borderId="10" xfId="0" applyNumberFormat="1" applyFont="1" applyFill="1" applyBorder="1"/>
    <xf numFmtId="165" fontId="5" fillId="0" borderId="11" xfId="0" applyNumberFormat="1" applyFont="1" applyFill="1" applyBorder="1"/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4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6" fontId="5" fillId="0" borderId="9" xfId="0" applyNumberFormat="1" applyFont="1" applyFill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164" fontId="2" fillId="0" borderId="9" xfId="0" applyNumberFormat="1" applyFont="1" applyBorder="1"/>
    <xf numFmtId="164" fontId="2" fillId="0" borderId="0" xfId="0" applyNumberFormat="1" applyFont="1" applyBorder="1"/>
    <xf numFmtId="164" fontId="2" fillId="0" borderId="10" xfId="0" applyNumberFormat="1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2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5" fillId="0" borderId="9" xfId="0" applyNumberFormat="1" applyFont="1" applyBorder="1"/>
    <xf numFmtId="2" fontId="5" fillId="0" borderId="0" xfId="0" applyNumberFormat="1" applyFont="1" applyBorder="1"/>
    <xf numFmtId="2" fontId="5" fillId="0" borderId="10" xfId="0" applyNumberFormat="1" applyFont="1" applyBorder="1"/>
    <xf numFmtId="164" fontId="2" fillId="0" borderId="9" xfId="0" applyNumberFormat="1" applyFont="1" applyFill="1" applyBorder="1"/>
    <xf numFmtId="165" fontId="5" fillId="0" borderId="11" xfId="0" applyNumberFormat="1" applyFont="1" applyBorder="1"/>
    <xf numFmtId="165" fontId="5" fillId="0" borderId="12" xfId="0" applyNumberFormat="1" applyFont="1" applyBorder="1"/>
    <xf numFmtId="165" fontId="2" fillId="0" borderId="9" xfId="0" applyNumberFormat="1" applyFont="1" applyBorder="1"/>
    <xf numFmtId="165" fontId="2" fillId="0" borderId="0" xfId="0" applyNumberFormat="1" applyFont="1" applyBorder="1"/>
    <xf numFmtId="9" fontId="5" fillId="0" borderId="9" xfId="1" applyFont="1" applyBorder="1"/>
    <xf numFmtId="9" fontId="5" fillId="0" borderId="0" xfId="1" applyFont="1" applyBorder="1"/>
    <xf numFmtId="9" fontId="5" fillId="0" borderId="10" xfId="1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131</xdr:row>
      <xdr:rowOff>114300</xdr:rowOff>
    </xdr:from>
    <xdr:to>
      <xdr:col>47</xdr:col>
      <xdr:colOff>114300</xdr:colOff>
      <xdr:row>135</xdr:row>
      <xdr:rowOff>88900</xdr:rowOff>
    </xdr:to>
    <xdr:cxnSp macro="">
      <xdr:nvCxnSpPr>
        <xdr:cNvPr id="2" name="Straight Arrow Connector 1"/>
        <xdr:cNvCxnSpPr/>
      </xdr:nvCxnSpPr>
      <xdr:spPr>
        <a:xfrm>
          <a:off x="31908750" y="25355550"/>
          <a:ext cx="0" cy="746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V262"/>
  <sheetViews>
    <sheetView tabSelected="1" zoomScale="75" zoomScaleNormal="75" workbookViewId="0">
      <pane xSplit="2" ySplit="1" topLeftCell="AS2" activePane="bottomRight" state="frozen"/>
      <selection pane="topRight" activeCell="C1" sqref="C1"/>
      <selection pane="bottomLeft" activeCell="A2" sqref="A2"/>
      <selection pane="bottomRight" activeCell="BF1" sqref="BF1"/>
    </sheetView>
  </sheetViews>
  <sheetFormatPr defaultRowHeight="15" x14ac:dyDescent="0.25"/>
  <cols>
    <col min="1" max="1" width="3" customWidth="1"/>
    <col min="2" max="2" width="35.42578125" customWidth="1"/>
    <col min="3" max="42" width="9.7109375" customWidth="1"/>
    <col min="43" max="43" width="12.7109375" bestFit="1" customWidth="1"/>
    <col min="44" max="48" width="9.7109375" customWidth="1"/>
    <col min="49" max="50" width="10.42578125" bestFit="1" customWidth="1"/>
  </cols>
  <sheetData>
    <row r="1" spans="2:61" x14ac:dyDescent="0.25">
      <c r="C1" s="1" t="s">
        <v>0</v>
      </c>
      <c r="D1" s="2" t="s">
        <v>1</v>
      </c>
      <c r="E1" s="2" t="s">
        <v>2</v>
      </c>
      <c r="F1" s="2" t="s">
        <v>3</v>
      </c>
      <c r="G1" s="1" t="s">
        <v>4</v>
      </c>
      <c r="H1" s="2" t="s">
        <v>5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1" t="s">
        <v>12</v>
      </c>
      <c r="P1" s="2" t="s">
        <v>13</v>
      </c>
      <c r="Q1" s="2" t="s">
        <v>14</v>
      </c>
      <c r="R1" s="2" t="s">
        <v>15</v>
      </c>
      <c r="S1" s="1" t="s">
        <v>16</v>
      </c>
      <c r="T1" s="2" t="s">
        <v>17</v>
      </c>
      <c r="U1" s="2" t="s">
        <v>18</v>
      </c>
      <c r="V1" s="2" t="s">
        <v>19</v>
      </c>
      <c r="W1" s="1" t="s">
        <v>20</v>
      </c>
      <c r="X1" s="2" t="s">
        <v>21</v>
      </c>
      <c r="Y1" s="2" t="s">
        <v>22</v>
      </c>
      <c r="Z1" s="2" t="s">
        <v>23</v>
      </c>
      <c r="AA1" s="1" t="s">
        <v>24</v>
      </c>
      <c r="AB1" s="2" t="s">
        <v>25</v>
      </c>
      <c r="AC1" s="2" t="s">
        <v>26</v>
      </c>
      <c r="AD1" s="2" t="s">
        <v>27</v>
      </c>
      <c r="AE1" s="1" t="s">
        <v>28</v>
      </c>
      <c r="AF1" s="2" t="s">
        <v>29</v>
      </c>
      <c r="AG1" s="2" t="s">
        <v>30</v>
      </c>
      <c r="AH1" s="2" t="s">
        <v>31</v>
      </c>
      <c r="AI1" s="1" t="s">
        <v>32</v>
      </c>
      <c r="AJ1" s="2" t="s">
        <v>33</v>
      </c>
      <c r="AK1" s="2" t="s">
        <v>34</v>
      </c>
      <c r="AL1" s="2" t="s">
        <v>35</v>
      </c>
      <c r="AM1" s="1" t="s">
        <v>36</v>
      </c>
      <c r="AN1" s="2" t="s">
        <v>37</v>
      </c>
      <c r="AO1" s="2" t="s">
        <v>38</v>
      </c>
      <c r="AP1" s="2" t="s">
        <v>39</v>
      </c>
      <c r="AQ1" s="1" t="s">
        <v>40</v>
      </c>
      <c r="AR1" s="2" t="s">
        <v>41</v>
      </c>
      <c r="AS1" s="2" t="s">
        <v>42</v>
      </c>
      <c r="AT1" s="2" t="s">
        <v>43</v>
      </c>
      <c r="AU1" s="1" t="s">
        <v>44</v>
      </c>
      <c r="AV1" s="1" t="s">
        <v>45</v>
      </c>
      <c r="AW1" s="1" t="s">
        <v>46</v>
      </c>
      <c r="AX1" s="3">
        <v>41609</v>
      </c>
      <c r="AY1" s="53" t="s">
        <v>47</v>
      </c>
      <c r="AZ1" s="54" t="s">
        <v>48</v>
      </c>
      <c r="BA1" s="54" t="s">
        <v>106</v>
      </c>
      <c r="BB1" s="55">
        <v>41977</v>
      </c>
      <c r="BC1" s="53" t="s">
        <v>109</v>
      </c>
      <c r="BD1" s="54" t="s">
        <v>111</v>
      </c>
      <c r="BE1" s="104" t="s">
        <v>115</v>
      </c>
      <c r="BF1" s="105" t="s">
        <v>116</v>
      </c>
    </row>
    <row r="2" spans="2:61" ht="21" x14ac:dyDescent="0.35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 t="s">
        <v>50</v>
      </c>
      <c r="AV2" s="7"/>
      <c r="AW2" s="7"/>
      <c r="AX2" s="7"/>
      <c r="AY2" s="56"/>
      <c r="AZ2" s="57"/>
      <c r="BA2" s="57"/>
      <c r="BB2" s="58"/>
      <c r="BC2" s="59"/>
      <c r="BD2" s="57"/>
      <c r="BE2" s="106"/>
      <c r="BF2" s="107"/>
      <c r="BG2" s="6"/>
      <c r="BH2" s="6"/>
      <c r="BI2" s="6"/>
    </row>
    <row r="3" spans="2:61" x14ac:dyDescent="0.25">
      <c r="B3" s="8" t="s">
        <v>51</v>
      </c>
      <c r="C3" s="9">
        <v>7929</v>
      </c>
      <c r="D3" s="9">
        <v>8731</v>
      </c>
      <c r="E3" s="9">
        <v>8222</v>
      </c>
      <c r="F3" s="9">
        <v>9031</v>
      </c>
      <c r="G3" s="9">
        <v>9117</v>
      </c>
      <c r="H3" s="9">
        <v>9308</v>
      </c>
      <c r="I3" s="9">
        <v>7916</v>
      </c>
      <c r="J3" s="9">
        <v>7923</v>
      </c>
      <c r="K3" s="9">
        <v>7243</v>
      </c>
      <c r="L3" s="9">
        <v>6935</v>
      </c>
      <c r="M3" s="9">
        <v>7511</v>
      </c>
      <c r="N3" s="9">
        <v>6708</v>
      </c>
      <c r="O3" s="9">
        <v>6742</v>
      </c>
      <c r="P3" s="9">
        <v>6844</v>
      </c>
      <c r="Q3" s="9">
        <v>6922</v>
      </c>
      <c r="R3" s="9">
        <v>7259</v>
      </c>
      <c r="S3" s="9">
        <v>6141</v>
      </c>
      <c r="T3" s="9">
        <v>7104</v>
      </c>
      <c r="U3" s="9">
        <v>7039</v>
      </c>
      <c r="V3" s="9">
        <v>7454</v>
      </c>
      <c r="W3" s="9">
        <v>6629</v>
      </c>
      <c r="X3" s="9">
        <v>6884</v>
      </c>
      <c r="Y3" s="9">
        <v>7522</v>
      </c>
      <c r="Z3" s="9">
        <v>7570</v>
      </c>
      <c r="AA3" s="6">
        <f>3622+674+1533</f>
        <v>5829</v>
      </c>
      <c r="AB3" s="6">
        <f>4066+846+1625</f>
        <v>6537</v>
      </c>
      <c r="AC3" s="6">
        <v>3828</v>
      </c>
      <c r="AD3" s="6">
        <v>3469</v>
      </c>
      <c r="AE3" s="6">
        <v>5990</v>
      </c>
      <c r="AF3" s="6">
        <v>6787</v>
      </c>
      <c r="AG3" s="6">
        <f>3719+761+1591</f>
        <v>6071</v>
      </c>
      <c r="AH3" s="6">
        <f>3806+577+1462</f>
        <v>5845</v>
      </c>
      <c r="AI3" s="6">
        <f>3468+582+1311</f>
        <v>5361</v>
      </c>
      <c r="AJ3" s="6">
        <f>4418+648+1349</f>
        <v>6415</v>
      </c>
      <c r="AK3" s="6">
        <v>7115</v>
      </c>
      <c r="AL3" s="6">
        <v>7171</v>
      </c>
      <c r="AM3" s="6">
        <v>6794</v>
      </c>
      <c r="AN3" s="6">
        <v>6656</v>
      </c>
      <c r="AO3" s="6">
        <v>5921</v>
      </c>
      <c r="AP3" s="6">
        <f>11253-AP52</f>
        <v>6272</v>
      </c>
      <c r="AQ3" s="6">
        <v>6509</v>
      </c>
      <c r="AR3" s="6">
        <v>6823</v>
      </c>
      <c r="AS3" s="6">
        <v>4716</v>
      </c>
      <c r="AT3" s="6">
        <v>2087</v>
      </c>
      <c r="AU3" s="6">
        <f>2813+754+649</f>
        <v>4216</v>
      </c>
      <c r="AV3" s="6">
        <f>2747+920+808</f>
        <v>4475</v>
      </c>
      <c r="AW3" s="6">
        <v>4684</v>
      </c>
      <c r="AX3" s="6">
        <v>4376</v>
      </c>
      <c r="AY3" s="59">
        <v>3432</v>
      </c>
      <c r="AZ3" s="57">
        <v>4515</v>
      </c>
      <c r="BA3" s="57">
        <v>4892</v>
      </c>
      <c r="BB3" s="58">
        <v>4537</v>
      </c>
      <c r="BC3" s="108">
        <v>3604</v>
      </c>
      <c r="BD3" s="106">
        <v>4013</v>
      </c>
      <c r="BE3" s="106">
        <v>4193</v>
      </c>
      <c r="BF3" s="107">
        <v>3894</v>
      </c>
      <c r="BG3" s="6"/>
      <c r="BH3" s="6"/>
      <c r="BI3" s="6"/>
    </row>
    <row r="4" spans="2:61" ht="15" customHeight="1" x14ac:dyDescent="0.25">
      <c r="B4" s="8" t="s">
        <v>52</v>
      </c>
      <c r="C4" s="9">
        <v>169536</v>
      </c>
      <c r="D4" s="9">
        <v>179155</v>
      </c>
      <c r="E4" s="9">
        <v>183707</v>
      </c>
      <c r="F4" s="9">
        <v>190288</v>
      </c>
      <c r="G4" s="9">
        <v>174426</v>
      </c>
      <c r="H4" s="9">
        <v>183565</v>
      </c>
      <c r="I4" s="9">
        <v>176290</v>
      </c>
      <c r="J4" s="9">
        <v>148923</v>
      </c>
      <c r="K4" s="9">
        <v>143743</v>
      </c>
      <c r="L4" s="9">
        <v>156940</v>
      </c>
      <c r="M4" s="9">
        <v>161985</v>
      </c>
      <c r="N4" s="9">
        <v>168325</v>
      </c>
      <c r="O4" s="9">
        <v>160992</v>
      </c>
      <c r="P4" s="9">
        <v>169896</v>
      </c>
      <c r="Q4" s="9">
        <v>166062</v>
      </c>
      <c r="R4" s="9">
        <v>179466</v>
      </c>
      <c r="S4" s="9">
        <v>163535</v>
      </c>
      <c r="T4" s="9">
        <v>170710</v>
      </c>
      <c r="U4" s="9">
        <v>169834</v>
      </c>
      <c r="V4" s="9">
        <v>160165</v>
      </c>
      <c r="W4" s="9">
        <v>160822</v>
      </c>
      <c r="X4" s="9">
        <v>161899</v>
      </c>
      <c r="Y4" s="9">
        <v>166343</v>
      </c>
      <c r="Z4" s="9">
        <v>160044</v>
      </c>
      <c r="AA4" s="6">
        <v>118213</v>
      </c>
      <c r="AB4" s="6">
        <v>134730</v>
      </c>
      <c r="AC4" s="6">
        <v>129528</v>
      </c>
      <c r="AD4" s="6">
        <v>131267</v>
      </c>
      <c r="AE4" s="6">
        <v>136088</v>
      </c>
      <c r="AF4" s="6">
        <v>132638</v>
      </c>
      <c r="AG4" s="6">
        <v>125156</v>
      </c>
      <c r="AH4" s="6">
        <v>131163</v>
      </c>
      <c r="AI4" s="6">
        <v>111311</v>
      </c>
      <c r="AJ4" s="6">
        <v>136332</v>
      </c>
      <c r="AK4" s="6">
        <v>134341</v>
      </c>
      <c r="AL4" s="6">
        <v>126984</v>
      </c>
      <c r="AM4" s="6">
        <v>118559</v>
      </c>
      <c r="AN4" s="6">
        <v>107149</v>
      </c>
      <c r="AO4" s="6">
        <v>92889</v>
      </c>
      <c r="AP4" s="6">
        <v>110939</v>
      </c>
      <c r="AQ4" s="6">
        <v>107127</v>
      </c>
      <c r="AR4" s="6">
        <v>100953</v>
      </c>
      <c r="AS4" s="6">
        <v>72900</v>
      </c>
      <c r="AT4" s="6">
        <v>39969</v>
      </c>
      <c r="AU4" s="6">
        <v>95917</v>
      </c>
      <c r="AV4" s="6">
        <v>97996</v>
      </c>
      <c r="AW4" s="6">
        <v>101529</v>
      </c>
      <c r="AX4" s="6">
        <v>102137</v>
      </c>
      <c r="AY4" s="59">
        <v>76723</v>
      </c>
      <c r="AZ4" s="57">
        <v>94089</v>
      </c>
      <c r="BA4" s="57">
        <v>103043</v>
      </c>
      <c r="BB4" s="58">
        <v>101059</v>
      </c>
      <c r="BC4" s="108">
        <v>99063</v>
      </c>
      <c r="BD4" s="106">
        <v>100229</v>
      </c>
      <c r="BE4" s="106">
        <v>93948</v>
      </c>
      <c r="BF4" s="107">
        <v>90869</v>
      </c>
      <c r="BG4" s="6"/>
      <c r="BH4" s="6"/>
      <c r="BI4" s="6"/>
    </row>
    <row r="5" spans="2:61" x14ac:dyDescent="0.25">
      <c r="B5" s="8" t="s">
        <v>53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59"/>
      <c r="AZ5" s="57"/>
      <c r="BA5" s="57"/>
      <c r="BB5" s="58"/>
      <c r="BC5" s="108"/>
      <c r="BD5" s="106"/>
      <c r="BE5" s="106"/>
      <c r="BF5" s="107"/>
      <c r="BG5" s="6"/>
      <c r="BH5" s="6"/>
      <c r="BI5" s="6"/>
    </row>
    <row r="6" spans="2:61" x14ac:dyDescent="0.25">
      <c r="B6" t="s">
        <v>54</v>
      </c>
      <c r="C6" s="9">
        <v>958</v>
      </c>
      <c r="D6" s="9">
        <v>891</v>
      </c>
      <c r="E6" s="9">
        <v>971</v>
      </c>
      <c r="F6" s="9">
        <v>1005</v>
      </c>
      <c r="G6" s="9">
        <v>958</v>
      </c>
      <c r="H6" s="9">
        <v>964</v>
      </c>
      <c r="I6" s="9">
        <v>994</v>
      </c>
      <c r="J6" s="9">
        <v>950</v>
      </c>
      <c r="K6" s="9">
        <v>838</v>
      </c>
      <c r="L6" s="9">
        <v>927</v>
      </c>
      <c r="M6" s="9">
        <v>950</v>
      </c>
      <c r="N6" s="9">
        <v>952</v>
      </c>
      <c r="O6" s="9">
        <v>914</v>
      </c>
      <c r="P6" s="9">
        <v>978</v>
      </c>
      <c r="Q6" s="9">
        <v>989</v>
      </c>
      <c r="R6" s="9">
        <v>1029</v>
      </c>
      <c r="S6" s="9">
        <v>925</v>
      </c>
      <c r="T6" s="9">
        <v>924</v>
      </c>
      <c r="U6" s="9">
        <v>964</v>
      </c>
      <c r="V6" s="9">
        <v>937</v>
      </c>
      <c r="W6" s="9">
        <v>930</v>
      </c>
      <c r="X6" s="9">
        <v>981</v>
      </c>
      <c r="Y6" s="9">
        <v>924</v>
      </c>
      <c r="Z6" s="9">
        <v>920</v>
      </c>
      <c r="AA6" s="6">
        <v>669</v>
      </c>
      <c r="AB6" s="6">
        <v>760</v>
      </c>
      <c r="AC6" s="6">
        <v>724</v>
      </c>
      <c r="AD6" s="6">
        <v>751</v>
      </c>
      <c r="AE6" s="6">
        <v>868</v>
      </c>
      <c r="AF6" s="6">
        <v>794</v>
      </c>
      <c r="AG6" s="6">
        <v>708</v>
      </c>
      <c r="AH6" s="6">
        <v>720</v>
      </c>
      <c r="AI6" s="6">
        <v>651</v>
      </c>
      <c r="AJ6" s="6">
        <v>841</v>
      </c>
      <c r="AK6" s="6">
        <v>793</v>
      </c>
      <c r="AL6" s="6">
        <v>779</v>
      </c>
      <c r="AM6" s="6">
        <v>610</v>
      </c>
      <c r="AN6" s="6">
        <v>672</v>
      </c>
      <c r="AO6" s="6">
        <v>634</v>
      </c>
      <c r="AP6" s="6">
        <v>686</v>
      </c>
      <c r="AQ6" s="6">
        <v>564</v>
      </c>
      <c r="AR6" s="6">
        <v>577</v>
      </c>
      <c r="AS6" s="6">
        <v>393</v>
      </c>
      <c r="AT6" s="6">
        <v>352</v>
      </c>
      <c r="AU6" s="6">
        <v>524</v>
      </c>
      <c r="AV6" s="6">
        <v>656</v>
      </c>
      <c r="AW6" s="6">
        <v>659</v>
      </c>
      <c r="AX6" s="6">
        <v>688</v>
      </c>
      <c r="AY6" s="59">
        <v>518</v>
      </c>
      <c r="AZ6" s="57">
        <v>626</v>
      </c>
      <c r="BA6" s="57">
        <v>697</v>
      </c>
      <c r="BB6" s="58">
        <v>656</v>
      </c>
      <c r="BC6" s="108">
        <v>595</v>
      </c>
      <c r="BD6" s="106">
        <v>614</v>
      </c>
      <c r="BE6" s="106">
        <v>632</v>
      </c>
      <c r="BF6" s="107">
        <v>571</v>
      </c>
      <c r="BG6" s="6"/>
      <c r="BH6" s="6"/>
      <c r="BI6" s="6"/>
    </row>
    <row r="7" spans="2:61" x14ac:dyDescent="0.25">
      <c r="B7" t="s">
        <v>55</v>
      </c>
      <c r="C7" s="9">
        <v>695</v>
      </c>
      <c r="D7" s="9">
        <v>803</v>
      </c>
      <c r="E7" s="9">
        <v>620</v>
      </c>
      <c r="F7" s="9">
        <v>442</v>
      </c>
      <c r="G7" s="9">
        <v>750</v>
      </c>
      <c r="H7" s="9">
        <v>660</v>
      </c>
      <c r="I7" s="9">
        <v>609</v>
      </c>
      <c r="J7" s="9">
        <v>608</v>
      </c>
      <c r="K7" s="9">
        <v>817</v>
      </c>
      <c r="L7" s="9">
        <v>695</v>
      </c>
      <c r="M7" s="9">
        <v>594</v>
      </c>
      <c r="N7" s="9">
        <v>695</v>
      </c>
      <c r="O7" s="9">
        <v>846</v>
      </c>
      <c r="P7" s="9">
        <v>765</v>
      </c>
      <c r="Q7" s="9">
        <v>625</v>
      </c>
      <c r="R7" s="9">
        <v>655</v>
      </c>
      <c r="S7" s="9">
        <v>906</v>
      </c>
      <c r="T7" s="9">
        <v>814</v>
      </c>
      <c r="U7" s="9">
        <v>739</v>
      </c>
      <c r="V7" s="9">
        <v>736</v>
      </c>
      <c r="W7" s="9">
        <v>704</v>
      </c>
      <c r="X7" s="9">
        <v>661</v>
      </c>
      <c r="Y7" s="9">
        <v>608</v>
      </c>
      <c r="Z7" s="9">
        <v>558</v>
      </c>
      <c r="AA7" s="6">
        <v>757</v>
      </c>
      <c r="AB7" s="6">
        <v>785</v>
      </c>
      <c r="AC7" s="6">
        <v>812</v>
      </c>
      <c r="AD7" s="6">
        <v>857</v>
      </c>
      <c r="AE7" s="6">
        <v>669</v>
      </c>
      <c r="AF7" s="6">
        <v>742</v>
      </c>
      <c r="AG7" s="6">
        <v>832</v>
      </c>
      <c r="AH7" s="6">
        <v>828</v>
      </c>
      <c r="AI7" s="6">
        <v>751</v>
      </c>
      <c r="AJ7" s="6">
        <v>753</v>
      </c>
      <c r="AK7" s="6">
        <v>728</v>
      </c>
      <c r="AL7" s="6">
        <v>703</v>
      </c>
      <c r="AM7" s="6">
        <v>866</v>
      </c>
      <c r="AN7" s="6">
        <v>810</v>
      </c>
      <c r="AO7" s="6">
        <v>942</v>
      </c>
      <c r="AP7" s="6">
        <v>927</v>
      </c>
      <c r="AQ7" s="6">
        <v>821</v>
      </c>
      <c r="AR7" s="6">
        <v>738</v>
      </c>
      <c r="AS7" s="6">
        <v>743</v>
      </c>
      <c r="AT7" s="6">
        <v>547</v>
      </c>
      <c r="AU7" s="6">
        <v>641</v>
      </c>
      <c r="AV7" s="6">
        <v>709</v>
      </c>
      <c r="AW7" s="6">
        <v>764</v>
      </c>
      <c r="AX7" s="6">
        <v>669</v>
      </c>
      <c r="AY7" s="59">
        <v>632</v>
      </c>
      <c r="AZ7" s="57">
        <v>713</v>
      </c>
      <c r="BA7" s="57">
        <v>732</v>
      </c>
      <c r="BB7" s="58">
        <v>790</v>
      </c>
      <c r="BC7" s="108">
        <v>805</v>
      </c>
      <c r="BD7" s="106">
        <v>791</v>
      </c>
      <c r="BE7" s="106">
        <v>873</v>
      </c>
      <c r="BF7" s="107">
        <v>891</v>
      </c>
      <c r="BG7" s="6"/>
      <c r="BH7" s="6"/>
      <c r="BI7" s="6"/>
    </row>
    <row r="8" spans="2:61" x14ac:dyDescent="0.25">
      <c r="B8" t="s">
        <v>56</v>
      </c>
      <c r="C8" s="9">
        <f>+C7+C6</f>
        <v>1653</v>
      </c>
      <c r="D8" s="9">
        <f t="shared" ref="D8:AZ8" si="0">+D7+D6</f>
        <v>1694</v>
      </c>
      <c r="E8" s="9">
        <f t="shared" si="0"/>
        <v>1591</v>
      </c>
      <c r="F8" s="9">
        <f t="shared" si="0"/>
        <v>1447</v>
      </c>
      <c r="G8" s="9">
        <f t="shared" si="0"/>
        <v>1708</v>
      </c>
      <c r="H8" s="9">
        <f t="shared" si="0"/>
        <v>1624</v>
      </c>
      <c r="I8" s="9">
        <f t="shared" si="0"/>
        <v>1603</v>
      </c>
      <c r="J8" s="9">
        <f t="shared" si="0"/>
        <v>1558</v>
      </c>
      <c r="K8" s="9">
        <f t="shared" si="0"/>
        <v>1655</v>
      </c>
      <c r="L8" s="9">
        <f t="shared" si="0"/>
        <v>1622</v>
      </c>
      <c r="M8" s="9">
        <f t="shared" si="0"/>
        <v>1544</v>
      </c>
      <c r="N8" s="9">
        <f t="shared" si="0"/>
        <v>1647</v>
      </c>
      <c r="O8" s="9">
        <f t="shared" si="0"/>
        <v>1760</v>
      </c>
      <c r="P8" s="9">
        <f t="shared" si="0"/>
        <v>1743</v>
      </c>
      <c r="Q8" s="9">
        <f t="shared" si="0"/>
        <v>1614</v>
      </c>
      <c r="R8" s="9">
        <f t="shared" si="0"/>
        <v>1684</v>
      </c>
      <c r="S8" s="9">
        <f t="shared" si="0"/>
        <v>1831</v>
      </c>
      <c r="T8" s="9">
        <f t="shared" si="0"/>
        <v>1738</v>
      </c>
      <c r="U8" s="9">
        <f t="shared" si="0"/>
        <v>1703</v>
      </c>
      <c r="V8" s="9">
        <f t="shared" si="0"/>
        <v>1673</v>
      </c>
      <c r="W8" s="9">
        <f t="shared" si="0"/>
        <v>1634</v>
      </c>
      <c r="X8" s="9">
        <f t="shared" si="0"/>
        <v>1642</v>
      </c>
      <c r="Y8" s="9">
        <f t="shared" si="0"/>
        <v>1532</v>
      </c>
      <c r="Z8" s="9">
        <f t="shared" si="0"/>
        <v>1478</v>
      </c>
      <c r="AA8" s="6">
        <f t="shared" si="0"/>
        <v>1426</v>
      </c>
      <c r="AB8" s="6">
        <f t="shared" si="0"/>
        <v>1545</v>
      </c>
      <c r="AC8" s="6">
        <f t="shared" si="0"/>
        <v>1536</v>
      </c>
      <c r="AD8" s="6">
        <f t="shared" si="0"/>
        <v>1608</v>
      </c>
      <c r="AE8" s="6">
        <f t="shared" si="0"/>
        <v>1537</v>
      </c>
      <c r="AF8" s="6">
        <f t="shared" si="0"/>
        <v>1536</v>
      </c>
      <c r="AG8" s="6">
        <f t="shared" si="0"/>
        <v>1540</v>
      </c>
      <c r="AH8" s="6">
        <f t="shared" si="0"/>
        <v>1548</v>
      </c>
      <c r="AI8" s="6">
        <f t="shared" si="0"/>
        <v>1402</v>
      </c>
      <c r="AJ8" s="6">
        <f t="shared" si="0"/>
        <v>1594</v>
      </c>
      <c r="AK8" s="6">
        <f t="shared" si="0"/>
        <v>1521</v>
      </c>
      <c r="AL8" s="6">
        <f t="shared" si="0"/>
        <v>1482</v>
      </c>
      <c r="AM8" s="6">
        <f t="shared" si="0"/>
        <v>1476</v>
      </c>
      <c r="AN8" s="6">
        <f t="shared" si="0"/>
        <v>1482</v>
      </c>
      <c r="AO8" s="6">
        <f t="shared" si="0"/>
        <v>1576</v>
      </c>
      <c r="AP8" s="6">
        <f t="shared" si="0"/>
        <v>1613</v>
      </c>
      <c r="AQ8" s="6">
        <f t="shared" si="0"/>
        <v>1385</v>
      </c>
      <c r="AR8" s="6">
        <f t="shared" si="0"/>
        <v>1315</v>
      </c>
      <c r="AS8" s="6">
        <f t="shared" si="0"/>
        <v>1136</v>
      </c>
      <c r="AT8" s="6">
        <f t="shared" si="0"/>
        <v>899</v>
      </c>
      <c r="AU8" s="6">
        <f t="shared" si="0"/>
        <v>1165</v>
      </c>
      <c r="AV8" s="6">
        <f t="shared" si="0"/>
        <v>1365</v>
      </c>
      <c r="AW8" s="6">
        <f t="shared" si="0"/>
        <v>1423</v>
      </c>
      <c r="AX8" s="6">
        <f t="shared" si="0"/>
        <v>1357</v>
      </c>
      <c r="AY8" s="59">
        <f t="shared" si="0"/>
        <v>1150</v>
      </c>
      <c r="AZ8" s="57">
        <f t="shared" si="0"/>
        <v>1339</v>
      </c>
      <c r="BA8" s="57">
        <f t="shared" ref="BA8:BB8" si="1">+BA7+BA6</f>
        <v>1429</v>
      </c>
      <c r="BB8" s="58">
        <f t="shared" si="1"/>
        <v>1446</v>
      </c>
      <c r="BC8" s="108">
        <f t="shared" ref="BC8:BD8" si="2">+BC7+BC6</f>
        <v>1400</v>
      </c>
      <c r="BD8" s="106">
        <f t="shared" si="2"/>
        <v>1405</v>
      </c>
      <c r="BE8" s="106">
        <f t="shared" ref="BE8:BF8" si="3">+BE7+BE6</f>
        <v>1505</v>
      </c>
      <c r="BF8" s="107">
        <f t="shared" si="3"/>
        <v>1462</v>
      </c>
      <c r="BG8" s="6"/>
      <c r="BH8" s="6"/>
      <c r="BI8" s="6"/>
    </row>
    <row r="9" spans="2:61" x14ac:dyDescent="0.25">
      <c r="B9" s="8" t="s">
        <v>57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59"/>
      <c r="AZ9" s="57"/>
      <c r="BA9" s="57"/>
      <c r="BB9" s="58"/>
      <c r="BC9" s="108"/>
      <c r="BD9" s="106"/>
      <c r="BE9" s="106"/>
      <c r="BF9" s="107"/>
      <c r="BI9" s="6"/>
    </row>
    <row r="10" spans="2:61" x14ac:dyDescent="0.25">
      <c r="B10" t="s">
        <v>54</v>
      </c>
      <c r="C10" s="49">
        <f>+C14/C6</f>
        <v>9</v>
      </c>
      <c r="D10" s="49">
        <v>10.5</v>
      </c>
      <c r="E10" s="49">
        <v>9.1999999999999993</v>
      </c>
      <c r="F10" s="49">
        <v>8.6</v>
      </c>
      <c r="G10" s="49">
        <v>7.8</v>
      </c>
      <c r="H10" s="49">
        <v>8.1</v>
      </c>
      <c r="I10" s="49">
        <v>8.1</v>
      </c>
      <c r="J10" s="49">
        <v>7.5</v>
      </c>
      <c r="K10" s="49">
        <v>8.6</v>
      </c>
      <c r="L10" s="49">
        <v>8.5</v>
      </c>
      <c r="M10" s="49">
        <v>8.1</v>
      </c>
      <c r="N10" s="49">
        <v>8.1</v>
      </c>
      <c r="O10" s="49">
        <v>8.9</v>
      </c>
      <c r="P10" s="49">
        <v>8.3000000000000007</v>
      </c>
      <c r="Q10" s="49">
        <v>8.1</v>
      </c>
      <c r="R10" s="49">
        <v>7.9</v>
      </c>
      <c r="S10" s="49">
        <v>7.9</v>
      </c>
      <c r="T10" s="49">
        <v>8.6999999999999993</v>
      </c>
      <c r="U10" s="49">
        <v>7.5</v>
      </c>
      <c r="V10" s="49">
        <v>7.5</v>
      </c>
      <c r="W10" s="49">
        <v>7.6</v>
      </c>
      <c r="X10" s="49">
        <v>7.6</v>
      </c>
      <c r="Y10" s="49">
        <v>8.1999999999999993</v>
      </c>
      <c r="Z10" s="49">
        <v>7.7</v>
      </c>
      <c r="AA10" s="35">
        <v>8.6</v>
      </c>
      <c r="AB10" s="35">
        <v>8.1999999999999993</v>
      </c>
      <c r="AC10" s="35">
        <v>8.1</v>
      </c>
      <c r="AD10" s="35">
        <v>7.4</v>
      </c>
      <c r="AE10" s="35">
        <v>7.1</v>
      </c>
      <c r="AF10" s="35">
        <v>7.6</v>
      </c>
      <c r="AG10" s="35">
        <v>7.3</v>
      </c>
      <c r="AH10" s="35">
        <v>7.2</v>
      </c>
      <c r="AI10" s="35">
        <v>6.2</v>
      </c>
      <c r="AJ10" s="35">
        <v>6.1</v>
      </c>
      <c r="AK10" s="35">
        <v>6.8</v>
      </c>
      <c r="AL10" s="35">
        <v>6.7</v>
      </c>
      <c r="AM10" s="35">
        <v>6.2</v>
      </c>
      <c r="AN10" s="35">
        <v>5.4</v>
      </c>
      <c r="AO10" s="35">
        <v>5.6</v>
      </c>
      <c r="AP10" s="35">
        <v>5.8</v>
      </c>
      <c r="AQ10" s="35">
        <v>5.9</v>
      </c>
      <c r="AR10" s="35">
        <v>6.4</v>
      </c>
      <c r="AS10" s="35">
        <f t="shared" ref="AS10:AY12" si="4">+AS14/AS6</f>
        <v>5.7684478371501271</v>
      </c>
      <c r="AT10" s="35">
        <f t="shared" si="4"/>
        <v>5.40625</v>
      </c>
      <c r="AU10" s="35">
        <f t="shared" si="4"/>
        <v>6.5820610687022905</v>
      </c>
      <c r="AV10" s="35">
        <f t="shared" si="4"/>
        <v>6.086890243902439</v>
      </c>
      <c r="AW10" s="35">
        <f t="shared" si="4"/>
        <v>7.4081942336874054</v>
      </c>
      <c r="AX10" s="35">
        <f t="shared" si="4"/>
        <v>6.6904069767441863</v>
      </c>
      <c r="AY10" s="60">
        <f t="shared" si="4"/>
        <v>7.1467181467181469</v>
      </c>
      <c r="AZ10" s="61">
        <f t="shared" ref="AZ10:BB10" si="5">+AZ14/AZ6</f>
        <v>6.3785942492012779</v>
      </c>
      <c r="BA10" s="61">
        <f t="shared" si="5"/>
        <v>6.4045911047345765</v>
      </c>
      <c r="BB10" s="62">
        <f t="shared" si="5"/>
        <v>6.3567073170731705</v>
      </c>
      <c r="BC10" s="109">
        <f t="shared" ref="BC10:BD10" si="6">+BC14/BC6</f>
        <v>5.715966386554622</v>
      </c>
      <c r="BD10" s="110">
        <f t="shared" si="6"/>
        <v>6.3534201954397398</v>
      </c>
      <c r="BE10" s="110">
        <f t="shared" ref="BE10:BF10" si="7">+BE14/BE6</f>
        <v>6.4382911392405067</v>
      </c>
      <c r="BF10" s="111">
        <f t="shared" si="7"/>
        <v>6.9597197898423815</v>
      </c>
      <c r="BI10" s="6"/>
    </row>
    <row r="11" spans="2:61" x14ac:dyDescent="0.25">
      <c r="B11" t="s">
        <v>55</v>
      </c>
      <c r="C11" s="49">
        <f>+C15/C7</f>
        <v>2.1899280575539568</v>
      </c>
      <c r="D11" s="49">
        <v>2</v>
      </c>
      <c r="E11" s="49">
        <v>2.2000000000000002</v>
      </c>
      <c r="F11" s="49">
        <v>3.3</v>
      </c>
      <c r="G11" s="49">
        <v>2.2999999999999998</v>
      </c>
      <c r="H11" s="49">
        <v>1.6</v>
      </c>
      <c r="I11" s="49">
        <v>1.6</v>
      </c>
      <c r="J11" s="49">
        <v>2.2999999999999998</v>
      </c>
      <c r="K11" s="49">
        <v>2.2000000000000002</v>
      </c>
      <c r="L11" s="49">
        <v>1.7</v>
      </c>
      <c r="M11" s="49">
        <v>1.8</v>
      </c>
      <c r="N11" s="49">
        <v>1.8</v>
      </c>
      <c r="O11" s="49">
        <v>1.2</v>
      </c>
      <c r="P11" s="49">
        <v>1.5</v>
      </c>
      <c r="Q11" s="49">
        <v>1.6</v>
      </c>
      <c r="R11" s="49">
        <v>1.4</v>
      </c>
      <c r="S11" s="49">
        <v>1.7</v>
      </c>
      <c r="T11" s="49">
        <v>1</v>
      </c>
      <c r="U11" s="49">
        <v>1.1000000000000001</v>
      </c>
      <c r="V11" s="49">
        <v>0.9</v>
      </c>
      <c r="W11" s="49">
        <v>1</v>
      </c>
      <c r="X11" s="49">
        <v>1</v>
      </c>
      <c r="Y11" s="49">
        <v>0.8</v>
      </c>
      <c r="Z11" s="49">
        <v>0.7</v>
      </c>
      <c r="AA11" s="35">
        <v>1.1000000000000001</v>
      </c>
      <c r="AB11" s="35">
        <v>0.7</v>
      </c>
      <c r="AC11" s="35">
        <v>0.7</v>
      </c>
      <c r="AD11" s="35">
        <v>0.6</v>
      </c>
      <c r="AE11" s="35">
        <v>0.8</v>
      </c>
      <c r="AF11" s="35">
        <v>0.8</v>
      </c>
      <c r="AG11" s="35">
        <v>0.9</v>
      </c>
      <c r="AH11" s="35">
        <v>0.8</v>
      </c>
      <c r="AI11" s="35">
        <v>0.7</v>
      </c>
      <c r="AJ11" s="35">
        <v>0.9</v>
      </c>
      <c r="AK11" s="35">
        <v>0.9</v>
      </c>
      <c r="AL11" s="35">
        <v>0.7</v>
      </c>
      <c r="AM11" s="35">
        <v>0.8</v>
      </c>
      <c r="AN11" s="35">
        <v>0.7</v>
      </c>
      <c r="AO11" s="35">
        <v>0.8</v>
      </c>
      <c r="AP11" s="35">
        <v>0.8</v>
      </c>
      <c r="AQ11" s="35">
        <v>1</v>
      </c>
      <c r="AR11" s="35">
        <v>0.8</v>
      </c>
      <c r="AS11" s="35">
        <f t="shared" si="4"/>
        <v>0.97711978465679672</v>
      </c>
      <c r="AT11" s="35">
        <f t="shared" si="4"/>
        <v>0.65996343692870196</v>
      </c>
      <c r="AU11" s="35">
        <f t="shared" si="4"/>
        <v>0.76287051482059287</v>
      </c>
      <c r="AV11" s="35">
        <f t="shared" si="4"/>
        <v>0.7066290550070522</v>
      </c>
      <c r="AW11" s="35">
        <f t="shared" si="4"/>
        <v>0.54450261780104714</v>
      </c>
      <c r="AX11" s="35">
        <f t="shared" si="4"/>
        <v>0.66068759342301941</v>
      </c>
      <c r="AY11" s="60">
        <f t="shared" si="4"/>
        <v>0.58544303797468356</v>
      </c>
      <c r="AZ11" s="61">
        <f t="shared" ref="AZ11:BB11" si="8">+AZ15/AZ7</f>
        <v>0.44460028050490885</v>
      </c>
      <c r="BA11" s="61">
        <f t="shared" si="8"/>
        <v>0.44125683060109289</v>
      </c>
      <c r="BB11" s="62">
        <f t="shared" si="8"/>
        <v>0.50126582278481013</v>
      </c>
      <c r="BC11" s="109">
        <f t="shared" ref="BC11:BD11" si="9">+BC15/BC7</f>
        <v>0.65714285714285714</v>
      </c>
      <c r="BD11" s="110">
        <f t="shared" si="9"/>
        <v>0.53855878634639698</v>
      </c>
      <c r="BE11" s="110">
        <f t="shared" ref="BE11:BF11" si="10">+BE15/BE7</f>
        <v>0.60939289805269192</v>
      </c>
      <c r="BF11" s="111">
        <f t="shared" si="10"/>
        <v>0.58136924803591472</v>
      </c>
      <c r="BI11" s="6"/>
    </row>
    <row r="12" spans="2:61" x14ac:dyDescent="0.25">
      <c r="B12" t="s">
        <v>58</v>
      </c>
      <c r="C12" s="49">
        <f>+C16/C8</f>
        <v>6.1367211131276465</v>
      </c>
      <c r="D12" s="49">
        <v>6.5</v>
      </c>
      <c r="E12" s="49">
        <v>6.4</v>
      </c>
      <c r="F12" s="49">
        <v>7</v>
      </c>
      <c r="G12" s="49">
        <v>5.4</v>
      </c>
      <c r="H12" s="49">
        <v>5.5</v>
      </c>
      <c r="I12" s="49">
        <v>5.6</v>
      </c>
      <c r="J12" s="49">
        <v>5.4</v>
      </c>
      <c r="K12" s="49">
        <v>5.4</v>
      </c>
      <c r="L12" s="49">
        <v>5.6</v>
      </c>
      <c r="M12" s="49">
        <v>5.7</v>
      </c>
      <c r="N12" s="49">
        <v>5.4</v>
      </c>
      <c r="O12" s="49">
        <v>5.2</v>
      </c>
      <c r="P12" s="49">
        <v>6</v>
      </c>
      <c r="Q12" s="49">
        <v>5.6</v>
      </c>
      <c r="R12" s="49">
        <v>5.4</v>
      </c>
      <c r="S12" s="49">
        <v>4.8</v>
      </c>
      <c r="T12" s="49">
        <v>5.0999999999999996</v>
      </c>
      <c r="U12" s="49">
        <v>4.7</v>
      </c>
      <c r="V12" s="49">
        <v>4.5999999999999996</v>
      </c>
      <c r="W12" s="49">
        <v>4.8</v>
      </c>
      <c r="X12" s="49">
        <v>4.9000000000000004</v>
      </c>
      <c r="Y12" s="49">
        <v>5.3</v>
      </c>
      <c r="Z12" s="49">
        <v>5</v>
      </c>
      <c r="AA12" s="35">
        <v>4.5999999999999996</v>
      </c>
      <c r="AB12" s="35">
        <v>4.4000000000000004</v>
      </c>
      <c r="AC12" s="35">
        <v>4.2</v>
      </c>
      <c r="AD12" s="35">
        <v>3.8</v>
      </c>
      <c r="AE12" s="35">
        <v>4.4000000000000004</v>
      </c>
      <c r="AF12" s="35">
        <v>4.3</v>
      </c>
      <c r="AG12" s="35">
        <v>3.8</v>
      </c>
      <c r="AH12" s="35">
        <v>3.8</v>
      </c>
      <c r="AI12" s="35">
        <v>3.3</v>
      </c>
      <c r="AJ12" s="35">
        <v>3.6</v>
      </c>
      <c r="AK12" s="35">
        <v>4</v>
      </c>
      <c r="AL12" s="35">
        <v>3.9</v>
      </c>
      <c r="AM12" s="35">
        <v>3</v>
      </c>
      <c r="AN12" s="35">
        <v>2.8</v>
      </c>
      <c r="AO12" s="35">
        <v>2.8</v>
      </c>
      <c r="AP12" s="35">
        <v>2.9</v>
      </c>
      <c r="AQ12" s="35">
        <v>3</v>
      </c>
      <c r="AR12" s="35">
        <v>3.3</v>
      </c>
      <c r="AS12" s="35">
        <f t="shared" si="4"/>
        <v>2.6346830985915495</v>
      </c>
      <c r="AT12" s="35">
        <f t="shared" si="4"/>
        <v>2.518353726362625</v>
      </c>
      <c r="AU12" s="35">
        <f t="shared" si="4"/>
        <v>3.3802575107296136</v>
      </c>
      <c r="AV12" s="35">
        <f t="shared" si="4"/>
        <v>3.2923076923076922</v>
      </c>
      <c r="AW12" s="35">
        <f t="shared" si="4"/>
        <v>3.7231201686577653</v>
      </c>
      <c r="AX12" s="35">
        <f t="shared" si="4"/>
        <v>3.7177597641857036</v>
      </c>
      <c r="AY12" s="60">
        <f t="shared" si="4"/>
        <v>3.5408695652173914</v>
      </c>
      <c r="AZ12" s="61">
        <f t="shared" ref="AZ12:BB12" si="11">+AZ16/AZ8</f>
        <v>3.2188200149365196</v>
      </c>
      <c r="BA12" s="61">
        <f t="shared" si="11"/>
        <v>3.3498950314905529</v>
      </c>
      <c r="BB12" s="62">
        <f t="shared" si="11"/>
        <v>3.1576763485477177</v>
      </c>
      <c r="BC12" s="109">
        <f t="shared" ref="BC12:BD12" si="12">+BC16/BC8</f>
        <v>2.8071428571428569</v>
      </c>
      <c r="BD12" s="110">
        <f t="shared" si="12"/>
        <v>3.079715302491103</v>
      </c>
      <c r="BE12" s="110">
        <f t="shared" ref="BE12:BF12" si="13">+BE16/BE8</f>
        <v>3.0571428571428569</v>
      </c>
      <c r="BF12" s="111">
        <f t="shared" si="13"/>
        <v>3.0725034199726404</v>
      </c>
      <c r="BI12" s="6"/>
    </row>
    <row r="13" spans="2:61" x14ac:dyDescent="0.25">
      <c r="B13" s="8" t="s">
        <v>59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59"/>
      <c r="AZ13" s="57"/>
      <c r="BA13" s="57"/>
      <c r="BB13" s="58"/>
      <c r="BC13" s="108"/>
      <c r="BD13" s="106"/>
      <c r="BE13" s="106"/>
      <c r="BF13" s="107"/>
      <c r="BI13" s="6"/>
    </row>
    <row r="14" spans="2:61" x14ac:dyDescent="0.25">
      <c r="B14" t="s">
        <v>54</v>
      </c>
      <c r="C14" s="9">
        <v>8622</v>
      </c>
      <c r="D14" s="9">
        <v>9357</v>
      </c>
      <c r="E14" s="9">
        <v>8910</v>
      </c>
      <c r="F14" s="9">
        <v>8665</v>
      </c>
      <c r="G14" s="9">
        <v>7505</v>
      </c>
      <c r="H14" s="9">
        <v>7806</v>
      </c>
      <c r="I14" s="9">
        <v>8016</v>
      </c>
      <c r="J14" s="9">
        <v>7092</v>
      </c>
      <c r="K14" s="9">
        <v>7191</v>
      </c>
      <c r="L14" s="9">
        <v>7857</v>
      </c>
      <c r="M14" s="9">
        <v>7741</v>
      </c>
      <c r="N14" s="9">
        <v>7665</v>
      </c>
      <c r="O14" s="9">
        <v>8149</v>
      </c>
      <c r="P14" s="9">
        <v>8095</v>
      </c>
      <c r="Q14" s="9">
        <v>8005</v>
      </c>
      <c r="R14" s="9">
        <v>8090</v>
      </c>
      <c r="S14" s="9">
        <v>7302</v>
      </c>
      <c r="T14" s="9">
        <v>8044</v>
      </c>
      <c r="U14" s="9">
        <v>7228</v>
      </c>
      <c r="V14" s="9">
        <v>7016</v>
      </c>
      <c r="W14" s="9">
        <v>7104</v>
      </c>
      <c r="X14" s="9">
        <v>7467</v>
      </c>
      <c r="Y14" s="9">
        <v>7609</v>
      </c>
      <c r="Z14" s="9">
        <v>7050</v>
      </c>
      <c r="AA14" s="6">
        <v>5721</v>
      </c>
      <c r="AB14" s="6">
        <v>6211</v>
      </c>
      <c r="AC14" s="6">
        <v>5873</v>
      </c>
      <c r="AD14" s="6">
        <v>5591</v>
      </c>
      <c r="AE14" s="6">
        <v>6179</v>
      </c>
      <c r="AF14" s="6">
        <v>6015</v>
      </c>
      <c r="AG14" s="6">
        <v>5157</v>
      </c>
      <c r="AH14" s="6">
        <v>5168</v>
      </c>
      <c r="AI14" s="6">
        <v>4065</v>
      </c>
      <c r="AJ14" s="6">
        <v>5142</v>
      </c>
      <c r="AK14" s="6">
        <v>5357</v>
      </c>
      <c r="AL14" s="6">
        <v>5247</v>
      </c>
      <c r="AM14" s="6">
        <v>3810</v>
      </c>
      <c r="AN14" s="6">
        <v>3638</v>
      </c>
      <c r="AO14" s="6">
        <v>3573</v>
      </c>
      <c r="AP14" s="6">
        <v>3956</v>
      </c>
      <c r="AQ14" s="6">
        <v>3303</v>
      </c>
      <c r="AR14" s="6">
        <v>3707</v>
      </c>
      <c r="AS14" s="6">
        <v>2267</v>
      </c>
      <c r="AT14" s="6">
        <v>1903</v>
      </c>
      <c r="AU14" s="6">
        <v>3449</v>
      </c>
      <c r="AV14" s="6">
        <v>3993</v>
      </c>
      <c r="AW14" s="6">
        <v>4882</v>
      </c>
      <c r="AX14" s="6">
        <v>4603</v>
      </c>
      <c r="AY14" s="59">
        <v>3702</v>
      </c>
      <c r="AZ14" s="57">
        <v>3993</v>
      </c>
      <c r="BA14" s="57">
        <v>4464</v>
      </c>
      <c r="BB14" s="58">
        <v>4170</v>
      </c>
      <c r="BC14" s="108">
        <v>3401</v>
      </c>
      <c r="BD14" s="106">
        <v>3901</v>
      </c>
      <c r="BE14" s="106">
        <v>4069</v>
      </c>
      <c r="BF14" s="107">
        <v>3974</v>
      </c>
      <c r="BI14" s="6"/>
    </row>
    <row r="15" spans="2:61" x14ac:dyDescent="0.25">
      <c r="B15" t="s">
        <v>55</v>
      </c>
      <c r="C15" s="9">
        <v>1522</v>
      </c>
      <c r="D15" s="9">
        <v>1617</v>
      </c>
      <c r="E15" s="9">
        <v>1340</v>
      </c>
      <c r="F15" s="9">
        <v>1451</v>
      </c>
      <c r="G15" s="9">
        <v>1754</v>
      </c>
      <c r="H15" s="9">
        <v>1085</v>
      </c>
      <c r="I15" s="9">
        <v>972</v>
      </c>
      <c r="J15" s="9">
        <v>1377</v>
      </c>
      <c r="K15" s="9">
        <v>1817</v>
      </c>
      <c r="L15" s="9">
        <v>1172</v>
      </c>
      <c r="M15" s="9">
        <v>1077</v>
      </c>
      <c r="N15" s="9">
        <v>1284</v>
      </c>
      <c r="O15" s="9">
        <v>980</v>
      </c>
      <c r="P15" s="9">
        <v>1171</v>
      </c>
      <c r="Q15" s="9">
        <v>1010</v>
      </c>
      <c r="R15" s="9">
        <v>932</v>
      </c>
      <c r="S15" s="9">
        <v>1547</v>
      </c>
      <c r="T15" s="9">
        <v>825</v>
      </c>
      <c r="U15" s="9">
        <v>781</v>
      </c>
      <c r="V15" s="9">
        <v>676</v>
      </c>
      <c r="W15" s="9">
        <v>710</v>
      </c>
      <c r="X15" s="9">
        <v>636</v>
      </c>
      <c r="Y15" s="9">
        <v>489</v>
      </c>
      <c r="Z15" s="9">
        <v>401</v>
      </c>
      <c r="AA15" s="6">
        <v>809</v>
      </c>
      <c r="AB15" s="6">
        <v>575</v>
      </c>
      <c r="AC15" s="6">
        <v>555</v>
      </c>
      <c r="AD15" s="6">
        <v>472</v>
      </c>
      <c r="AE15" s="6">
        <v>514</v>
      </c>
      <c r="AF15" s="6">
        <v>615</v>
      </c>
      <c r="AG15" s="6">
        <v>736</v>
      </c>
      <c r="AH15" s="6">
        <v>657</v>
      </c>
      <c r="AI15" s="6">
        <v>510</v>
      </c>
      <c r="AJ15" s="6">
        <v>641</v>
      </c>
      <c r="AK15" s="6">
        <v>660</v>
      </c>
      <c r="AL15" s="6">
        <v>493</v>
      </c>
      <c r="AM15" s="6">
        <v>660</v>
      </c>
      <c r="AN15" s="6">
        <v>579</v>
      </c>
      <c r="AO15" s="6">
        <v>771</v>
      </c>
      <c r="AP15" s="6">
        <v>776</v>
      </c>
      <c r="AQ15" s="6">
        <v>840</v>
      </c>
      <c r="AR15" s="6">
        <v>621</v>
      </c>
      <c r="AS15" s="6">
        <v>726</v>
      </c>
      <c r="AT15" s="6">
        <v>361</v>
      </c>
      <c r="AU15" s="6">
        <v>489</v>
      </c>
      <c r="AV15" s="6">
        <v>501</v>
      </c>
      <c r="AW15" s="6">
        <v>416</v>
      </c>
      <c r="AX15" s="6">
        <v>442</v>
      </c>
      <c r="AY15" s="59">
        <v>370</v>
      </c>
      <c r="AZ15" s="57">
        <v>317</v>
      </c>
      <c r="BA15" s="57">
        <v>323</v>
      </c>
      <c r="BB15" s="58">
        <v>396</v>
      </c>
      <c r="BC15" s="108">
        <v>529</v>
      </c>
      <c r="BD15" s="106">
        <v>426</v>
      </c>
      <c r="BE15" s="106">
        <v>532</v>
      </c>
      <c r="BF15" s="107">
        <v>518</v>
      </c>
      <c r="BI15" s="6"/>
    </row>
    <row r="16" spans="2:61" x14ac:dyDescent="0.25">
      <c r="B16" t="s">
        <v>56</v>
      </c>
      <c r="C16" s="9">
        <f>+C15+C14</f>
        <v>10144</v>
      </c>
      <c r="D16" s="9">
        <f t="shared" ref="D16:AZ16" si="14">+D15+D14</f>
        <v>10974</v>
      </c>
      <c r="E16" s="9">
        <f t="shared" si="14"/>
        <v>10250</v>
      </c>
      <c r="F16" s="9">
        <f t="shared" si="14"/>
        <v>10116</v>
      </c>
      <c r="G16" s="9">
        <f t="shared" si="14"/>
        <v>9259</v>
      </c>
      <c r="H16" s="9">
        <f t="shared" si="14"/>
        <v>8891</v>
      </c>
      <c r="I16" s="9">
        <f t="shared" si="14"/>
        <v>8988</v>
      </c>
      <c r="J16" s="9">
        <f t="shared" si="14"/>
        <v>8469</v>
      </c>
      <c r="K16" s="9">
        <f t="shared" si="14"/>
        <v>9008</v>
      </c>
      <c r="L16" s="9">
        <f t="shared" si="14"/>
        <v>9029</v>
      </c>
      <c r="M16" s="9">
        <f t="shared" si="14"/>
        <v>8818</v>
      </c>
      <c r="N16" s="9">
        <f t="shared" si="14"/>
        <v>8949</v>
      </c>
      <c r="O16" s="9">
        <f t="shared" si="14"/>
        <v>9129</v>
      </c>
      <c r="P16" s="9">
        <f t="shared" si="14"/>
        <v>9266</v>
      </c>
      <c r="Q16" s="9">
        <f t="shared" si="14"/>
        <v>9015</v>
      </c>
      <c r="R16" s="9">
        <f t="shared" si="14"/>
        <v>9022</v>
      </c>
      <c r="S16" s="9">
        <f t="shared" si="14"/>
        <v>8849</v>
      </c>
      <c r="T16" s="9">
        <f t="shared" si="14"/>
        <v>8869</v>
      </c>
      <c r="U16" s="9">
        <f t="shared" si="14"/>
        <v>8009</v>
      </c>
      <c r="V16" s="9">
        <f t="shared" si="14"/>
        <v>7692</v>
      </c>
      <c r="W16" s="9">
        <f t="shared" si="14"/>
        <v>7814</v>
      </c>
      <c r="X16" s="9">
        <f t="shared" si="14"/>
        <v>8103</v>
      </c>
      <c r="Y16" s="9">
        <f t="shared" si="14"/>
        <v>8098</v>
      </c>
      <c r="Z16" s="9">
        <f t="shared" si="14"/>
        <v>7451</v>
      </c>
      <c r="AA16" s="6">
        <f t="shared" si="14"/>
        <v>6530</v>
      </c>
      <c r="AB16" s="6">
        <f t="shared" si="14"/>
        <v>6786</v>
      </c>
      <c r="AC16" s="6">
        <f t="shared" si="14"/>
        <v>6428</v>
      </c>
      <c r="AD16" s="6">
        <f t="shared" si="14"/>
        <v>6063</v>
      </c>
      <c r="AE16" s="6">
        <f t="shared" si="14"/>
        <v>6693</v>
      </c>
      <c r="AF16" s="6">
        <f t="shared" si="14"/>
        <v>6630</v>
      </c>
      <c r="AG16" s="6">
        <f t="shared" si="14"/>
        <v>5893</v>
      </c>
      <c r="AH16" s="6">
        <f t="shared" si="14"/>
        <v>5825</v>
      </c>
      <c r="AI16" s="6">
        <f t="shared" si="14"/>
        <v>4575</v>
      </c>
      <c r="AJ16" s="6">
        <f t="shared" si="14"/>
        <v>5783</v>
      </c>
      <c r="AK16" s="6">
        <f t="shared" si="14"/>
        <v>6017</v>
      </c>
      <c r="AL16" s="6">
        <f t="shared" si="14"/>
        <v>5740</v>
      </c>
      <c r="AM16" s="6">
        <f t="shared" si="14"/>
        <v>4470</v>
      </c>
      <c r="AN16" s="6">
        <f t="shared" si="14"/>
        <v>4217</v>
      </c>
      <c r="AO16" s="6">
        <f t="shared" si="14"/>
        <v>4344</v>
      </c>
      <c r="AP16" s="6">
        <f t="shared" si="14"/>
        <v>4732</v>
      </c>
      <c r="AQ16" s="6">
        <f t="shared" si="14"/>
        <v>4143</v>
      </c>
      <c r="AR16" s="6">
        <f t="shared" si="14"/>
        <v>4328</v>
      </c>
      <c r="AS16" s="6">
        <f t="shared" si="14"/>
        <v>2993</v>
      </c>
      <c r="AT16" s="6">
        <f t="shared" si="14"/>
        <v>2264</v>
      </c>
      <c r="AU16" s="6">
        <f t="shared" si="14"/>
        <v>3938</v>
      </c>
      <c r="AV16" s="6">
        <f t="shared" si="14"/>
        <v>4494</v>
      </c>
      <c r="AW16" s="6">
        <f t="shared" si="14"/>
        <v>5298</v>
      </c>
      <c r="AX16" s="6">
        <f t="shared" si="14"/>
        <v>5045</v>
      </c>
      <c r="AY16" s="59">
        <f t="shared" si="14"/>
        <v>4072</v>
      </c>
      <c r="AZ16" s="57">
        <f t="shared" si="14"/>
        <v>4310</v>
      </c>
      <c r="BA16" s="57">
        <f t="shared" ref="BA16:BB16" si="15">+BA15+BA14</f>
        <v>4787</v>
      </c>
      <c r="BB16" s="58">
        <f t="shared" si="15"/>
        <v>4566</v>
      </c>
      <c r="BC16" s="108">
        <f t="shared" ref="BC16:BD16" si="16">+BC15+BC14</f>
        <v>3930</v>
      </c>
      <c r="BD16" s="106">
        <f t="shared" si="16"/>
        <v>4327</v>
      </c>
      <c r="BE16" s="106">
        <f t="shared" ref="BE16:BF16" si="17">+BE15+BE14</f>
        <v>4601</v>
      </c>
      <c r="BF16" s="107">
        <f t="shared" si="17"/>
        <v>4492</v>
      </c>
      <c r="BI16" s="6"/>
    </row>
    <row r="17" spans="2:61" x14ac:dyDescent="0.25">
      <c r="B17" s="8" t="s">
        <v>60</v>
      </c>
      <c r="C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12" t="s">
        <v>61</v>
      </c>
      <c r="AY17" s="63"/>
      <c r="AZ17" s="57"/>
      <c r="BA17" s="57"/>
      <c r="BB17" s="58"/>
      <c r="BC17" s="108"/>
      <c r="BD17" s="106"/>
      <c r="BE17" s="106"/>
      <c r="BF17" s="107"/>
      <c r="BI17" s="6"/>
    </row>
    <row r="18" spans="2:61" x14ac:dyDescent="0.25">
      <c r="B18" t="s">
        <v>54</v>
      </c>
      <c r="C18" s="9">
        <v>549</v>
      </c>
      <c r="D18" s="9">
        <v>606</v>
      </c>
      <c r="E18" s="9">
        <v>592</v>
      </c>
      <c r="F18" s="9">
        <v>571</v>
      </c>
      <c r="G18" s="9">
        <v>582</v>
      </c>
      <c r="H18" s="9">
        <v>577</v>
      </c>
      <c r="I18" s="9">
        <v>606</v>
      </c>
      <c r="J18" s="9">
        <v>635</v>
      </c>
      <c r="K18" s="9">
        <v>694</v>
      </c>
      <c r="L18" s="9">
        <v>629</v>
      </c>
      <c r="M18" s="9">
        <v>618</v>
      </c>
      <c r="N18" s="9">
        <v>602</v>
      </c>
      <c r="O18" s="9">
        <v>623</v>
      </c>
      <c r="P18" s="9">
        <v>593</v>
      </c>
      <c r="Q18" s="9">
        <v>621</v>
      </c>
      <c r="R18" s="9">
        <v>623</v>
      </c>
      <c r="S18" s="9">
        <v>674</v>
      </c>
      <c r="T18" s="9">
        <v>710</v>
      </c>
      <c r="U18" s="9">
        <v>626</v>
      </c>
      <c r="V18" s="9">
        <v>654</v>
      </c>
      <c r="W18" s="9">
        <v>680</v>
      </c>
      <c r="X18" s="9">
        <v>652</v>
      </c>
      <c r="Y18" s="9">
        <v>735</v>
      </c>
      <c r="Z18" s="9">
        <v>760</v>
      </c>
      <c r="AA18" s="6">
        <v>984</v>
      </c>
      <c r="AB18" s="6">
        <v>896</v>
      </c>
      <c r="AC18" s="6">
        <v>1127</v>
      </c>
      <c r="AD18" s="6">
        <v>1081</v>
      </c>
      <c r="AE18" s="6">
        <v>928</v>
      </c>
      <c r="AF18" s="6">
        <v>1059</v>
      </c>
      <c r="AG18" s="6">
        <v>1248</v>
      </c>
      <c r="AH18" s="6">
        <v>1212</v>
      </c>
      <c r="AI18" s="6">
        <v>1324</v>
      </c>
      <c r="AJ18" s="6">
        <v>1129</v>
      </c>
      <c r="AK18" s="6">
        <v>1202</v>
      </c>
      <c r="AL18" s="6">
        <v>1184</v>
      </c>
      <c r="AM18" s="6">
        <v>1390</v>
      </c>
      <c r="AN18" s="6">
        <v>1345</v>
      </c>
      <c r="AO18" s="6">
        <v>1465</v>
      </c>
      <c r="AP18" s="6">
        <v>1289</v>
      </c>
      <c r="AQ18" s="6">
        <v>1663</v>
      </c>
      <c r="AR18" s="6">
        <v>1698</v>
      </c>
      <c r="AS18" s="6">
        <v>2644</v>
      </c>
      <c r="AT18" s="6">
        <v>2653</v>
      </c>
      <c r="AU18" s="6">
        <v>2018</v>
      </c>
      <c r="AV18" s="6">
        <v>1751</v>
      </c>
      <c r="AW18" s="6">
        <v>1748</v>
      </c>
      <c r="AX18" s="6">
        <v>1600</v>
      </c>
      <c r="AY18" s="59">
        <v>1999</v>
      </c>
      <c r="AZ18" s="57">
        <v>1769</v>
      </c>
      <c r="BA18" s="57">
        <v>1684</v>
      </c>
      <c r="BB18" s="58">
        <v>1693</v>
      </c>
      <c r="BC18" s="108">
        <v>1894</v>
      </c>
      <c r="BD18" s="106">
        <v>1962</v>
      </c>
      <c r="BE18" s="106">
        <v>1995</v>
      </c>
      <c r="BF18" s="107">
        <v>1906</v>
      </c>
      <c r="BI18" s="6"/>
    </row>
    <row r="19" spans="2:61" x14ac:dyDescent="0.25">
      <c r="B19" t="s">
        <v>55</v>
      </c>
      <c r="C19" s="9">
        <v>56</v>
      </c>
      <c r="D19" s="9">
        <v>54</v>
      </c>
      <c r="E19" s="9">
        <v>58</v>
      </c>
      <c r="F19" s="9">
        <v>80</v>
      </c>
      <c r="G19" s="9">
        <v>65</v>
      </c>
      <c r="H19" s="9">
        <v>59</v>
      </c>
      <c r="I19" s="9">
        <v>56</v>
      </c>
      <c r="J19" s="9">
        <v>74</v>
      </c>
      <c r="K19" s="9">
        <v>69</v>
      </c>
      <c r="L19" s="9">
        <v>78</v>
      </c>
      <c r="M19" s="9">
        <v>58</v>
      </c>
      <c r="N19" s="9">
        <v>75</v>
      </c>
      <c r="O19" s="9">
        <v>52</v>
      </c>
      <c r="P19" s="9">
        <v>60</v>
      </c>
      <c r="Q19" s="9">
        <v>68</v>
      </c>
      <c r="R19" s="9">
        <v>51</v>
      </c>
      <c r="S19" s="9">
        <v>63</v>
      </c>
      <c r="T19" s="9">
        <v>58</v>
      </c>
      <c r="U19" s="9">
        <v>63</v>
      </c>
      <c r="V19" s="9">
        <v>65</v>
      </c>
      <c r="W19" s="9">
        <v>64</v>
      </c>
      <c r="X19" s="9">
        <v>67</v>
      </c>
      <c r="Y19" s="9">
        <v>73</v>
      </c>
      <c r="Z19" s="9">
        <v>80</v>
      </c>
      <c r="AA19" s="6">
        <v>86</v>
      </c>
      <c r="AB19" s="6">
        <v>78</v>
      </c>
      <c r="AC19" s="6">
        <v>80</v>
      </c>
      <c r="AD19" s="6">
        <v>76</v>
      </c>
      <c r="AE19" s="6">
        <v>93</v>
      </c>
      <c r="AF19" s="6">
        <v>87</v>
      </c>
      <c r="AG19" s="6">
        <v>80</v>
      </c>
      <c r="AH19" s="6">
        <v>79</v>
      </c>
      <c r="AI19" s="6">
        <v>84</v>
      </c>
      <c r="AJ19" s="6">
        <v>92</v>
      </c>
      <c r="AK19" s="6">
        <v>116</v>
      </c>
      <c r="AL19" s="6">
        <v>107</v>
      </c>
      <c r="AM19" s="6">
        <v>97</v>
      </c>
      <c r="AN19" s="6">
        <v>116</v>
      </c>
      <c r="AO19" s="6">
        <v>96</v>
      </c>
      <c r="AP19" s="6">
        <v>101</v>
      </c>
      <c r="AQ19" s="6">
        <v>125</v>
      </c>
      <c r="AR19" s="6">
        <v>147</v>
      </c>
      <c r="AS19" s="6">
        <v>157</v>
      </c>
      <c r="AT19" s="6">
        <v>173</v>
      </c>
      <c r="AU19" s="6">
        <v>170</v>
      </c>
      <c r="AV19" s="6">
        <v>166</v>
      </c>
      <c r="AW19" s="6">
        <v>162</v>
      </c>
      <c r="AX19" s="6">
        <v>163</v>
      </c>
      <c r="AY19" s="59">
        <v>168</v>
      </c>
      <c r="AZ19" s="57">
        <v>170</v>
      </c>
      <c r="BA19" s="57">
        <v>178</v>
      </c>
      <c r="BB19" s="58">
        <v>161</v>
      </c>
      <c r="BC19" s="108">
        <v>159</v>
      </c>
      <c r="BD19" s="106">
        <v>168</v>
      </c>
      <c r="BE19" s="106">
        <v>173</v>
      </c>
      <c r="BF19" s="107">
        <v>158</v>
      </c>
      <c r="BI19" s="6"/>
    </row>
    <row r="20" spans="2:61" x14ac:dyDescent="0.25">
      <c r="B20" t="s">
        <v>56</v>
      </c>
      <c r="C20" s="14">
        <f>+((C18*C6)+(C19*C7))/(C8)</f>
        <v>341.71929824561403</v>
      </c>
      <c r="D20" s="14">
        <f>+((D18*D6)+(D19*D7))/(D8)+1</f>
        <v>345.33766233766232</v>
      </c>
      <c r="E20" s="14">
        <f t="shared" ref="E20:AR20" si="18">+((E18*E6)+(E19*E7))/(E8)</f>
        <v>383.90446260213702</v>
      </c>
      <c r="F20" s="14">
        <f t="shared" si="18"/>
        <v>421.01935038009674</v>
      </c>
      <c r="G20" s="14">
        <f t="shared" si="18"/>
        <v>354.98009367681499</v>
      </c>
      <c r="H20" s="14">
        <f>+((H18*H6)+(H19*H7))/(H8)+1</f>
        <v>367.48275862068965</v>
      </c>
      <c r="I20" s="14">
        <f t="shared" si="18"/>
        <v>397.04803493449782</v>
      </c>
      <c r="J20" s="14">
        <f t="shared" si="18"/>
        <v>416.07317073170731</v>
      </c>
      <c r="K20" s="14">
        <f t="shared" si="18"/>
        <v>385.46525679758309</v>
      </c>
      <c r="L20" s="14">
        <f t="shared" si="18"/>
        <v>392.90567200986436</v>
      </c>
      <c r="M20" s="14">
        <f t="shared" si="18"/>
        <v>402.559585492228</v>
      </c>
      <c r="N20" s="14">
        <f t="shared" si="18"/>
        <v>379.61687917425621</v>
      </c>
      <c r="O20" s="14">
        <f t="shared" si="18"/>
        <v>348.53068181818179</v>
      </c>
      <c r="P20" s="14">
        <f t="shared" si="18"/>
        <v>359.06712564543892</v>
      </c>
      <c r="Q20" s="14">
        <f>+((Q18*Q6)+(Q19*Q7))/(Q8)-1</f>
        <v>405.85811648079306</v>
      </c>
      <c r="R20" s="14">
        <f t="shared" si="18"/>
        <v>400.51781472684087</v>
      </c>
      <c r="S20" s="14">
        <f t="shared" si="18"/>
        <v>371.67012561441834</v>
      </c>
      <c r="T20" s="14">
        <f t="shared" si="18"/>
        <v>404.63291139240505</v>
      </c>
      <c r="U20" s="14">
        <f t="shared" si="18"/>
        <v>381.6917204932472</v>
      </c>
      <c r="V20" s="14">
        <f t="shared" si="18"/>
        <v>394.88224745965334</v>
      </c>
      <c r="W20" s="14">
        <f t="shared" si="18"/>
        <v>414.59975520195837</v>
      </c>
      <c r="X20" s="14">
        <f>+((X18*X6)+(X19*X7))/(X8)-1</f>
        <v>415.50365408038977</v>
      </c>
      <c r="Y20" s="14">
        <f t="shared" si="18"/>
        <v>472.27415143603133</v>
      </c>
      <c r="Z20" s="14">
        <f>+((Z18*Z6)+(Z19*Z7))/(Z8)+1</f>
        <v>504.27469553450607</v>
      </c>
      <c r="AA20" s="13">
        <f t="shared" si="18"/>
        <v>507.29172510518936</v>
      </c>
      <c r="AB20" s="13">
        <f t="shared" si="18"/>
        <v>480.38187702265373</v>
      </c>
      <c r="AC20" s="13">
        <f>+((AC18*AC6)+(AC19*AC7))/(AC8)-1</f>
        <v>572.5078125</v>
      </c>
      <c r="AD20" s="13">
        <f t="shared" si="18"/>
        <v>545.375</v>
      </c>
      <c r="AE20" s="13">
        <f t="shared" si="18"/>
        <v>564.55497722836697</v>
      </c>
      <c r="AF20" s="13">
        <f t="shared" si="18"/>
        <v>589.453125</v>
      </c>
      <c r="AG20" s="13">
        <f t="shared" si="18"/>
        <v>616.97662337662337</v>
      </c>
      <c r="AH20" s="13">
        <f t="shared" si="18"/>
        <v>605.97674418604652</v>
      </c>
      <c r="AI20" s="13">
        <f t="shared" si="18"/>
        <v>659.77746077032805</v>
      </c>
      <c r="AJ20" s="13">
        <f t="shared" si="18"/>
        <v>639.12484316185692</v>
      </c>
      <c r="AK20" s="13">
        <f t="shared" si="18"/>
        <v>682.20512820512818</v>
      </c>
      <c r="AL20" s="13">
        <f t="shared" si="18"/>
        <v>673.11538461538464</v>
      </c>
      <c r="AM20" s="13">
        <f t="shared" si="18"/>
        <v>631.369918699187</v>
      </c>
      <c r="AN20" s="13">
        <f>+((AN18*AN6)+(AN19*AN7))/(AN8)+1</f>
        <v>674.27935222672068</v>
      </c>
      <c r="AO20" s="13">
        <f>+((AO18*AO6)+(AO19*AO7))/(AO8)-1</f>
        <v>645.72715736040607</v>
      </c>
      <c r="AP20" s="13">
        <f t="shared" si="18"/>
        <v>606.24984500929941</v>
      </c>
      <c r="AQ20" s="13">
        <f t="shared" si="18"/>
        <v>751.30469314079426</v>
      </c>
      <c r="AR20" s="13">
        <f t="shared" si="18"/>
        <v>827.55285171102662</v>
      </c>
      <c r="AS20" s="13">
        <f>+((AS18*AS6)+(AS19*AS7))/(AS8)+1</f>
        <v>1018.3794014084507</v>
      </c>
      <c r="AT20" s="13">
        <f>+((AT18*AT6)+(AT19*AT7))/(AT8)</f>
        <v>1144.0344827586207</v>
      </c>
      <c r="AU20" s="13">
        <f t="shared" ref="AU20:AW20" si="19">+((AU18*AU6)+(AU19*AU7))/(AU8)</f>
        <v>1001.2034334763948</v>
      </c>
      <c r="AV20" s="13">
        <f t="shared" si="19"/>
        <v>927.72893772893769</v>
      </c>
      <c r="AW20" s="13">
        <f t="shared" si="19"/>
        <v>896.48629655657066</v>
      </c>
      <c r="AX20" s="13">
        <v>892</v>
      </c>
      <c r="AY20" s="63">
        <v>993</v>
      </c>
      <c r="AZ20" s="64">
        <v>918</v>
      </c>
      <c r="BA20" s="64">
        <f t="shared" ref="BA20:BB20" si="20">+((BA18*BA6)+(BA19*BA7))/(BA8)</f>
        <v>912.55703289013297</v>
      </c>
      <c r="BB20" s="65">
        <f t="shared" si="20"/>
        <v>856.01521438450902</v>
      </c>
      <c r="BC20" s="112">
        <f>+((BC18*BC6)+(BC19*BC7))/(BC8)+1</f>
        <v>897.375</v>
      </c>
      <c r="BD20" s="113">
        <f>+((BD18*BD6)+(BD19*BD7))/(BD8)</f>
        <v>951.99715302491109</v>
      </c>
      <c r="BE20" s="113">
        <f>+((BE18*BE6)+(BE19*BE7))/(BE8)</f>
        <v>938.11893687707641</v>
      </c>
      <c r="BF20" s="114">
        <f>+((BF18*BF6)+(BF19*BF7))/(BF8)</f>
        <v>840.70041039671685</v>
      </c>
      <c r="BI20" s="6"/>
    </row>
    <row r="21" spans="2:61" x14ac:dyDescent="0.25">
      <c r="B21" s="8" t="s">
        <v>62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63"/>
      <c r="AZ21" s="57"/>
      <c r="BA21" s="57"/>
      <c r="BB21" s="58"/>
      <c r="BC21" s="108"/>
      <c r="BD21" s="106"/>
      <c r="BE21" s="106"/>
      <c r="BF21" s="107"/>
      <c r="BI21" s="6"/>
    </row>
    <row r="22" spans="2:61" x14ac:dyDescent="0.25">
      <c r="B22" t="s">
        <v>63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 t="s">
        <v>64</v>
      </c>
      <c r="N22" s="16"/>
      <c r="O22" s="16"/>
      <c r="P22" s="16"/>
      <c r="Q22" s="16"/>
      <c r="R22" s="16"/>
      <c r="S22" s="16"/>
      <c r="T22" s="18"/>
      <c r="U22" s="19">
        <f>143.7-U23-U24</f>
        <v>85.399999999999991</v>
      </c>
      <c r="V22" s="19">
        <f>177.4-V23-V24</f>
        <v>94.4</v>
      </c>
      <c r="W22" s="19">
        <f>195.9-W23-W24</f>
        <v>79.5</v>
      </c>
      <c r="X22" s="19">
        <f>298-X23-X24</f>
        <v>83</v>
      </c>
      <c r="Y22" s="19">
        <f>219.3-Y23-Y24</f>
        <v>94.700000000000017</v>
      </c>
      <c r="Z22" s="19">
        <f>267.3-Z23-Z24</f>
        <v>93.5</v>
      </c>
      <c r="AA22" s="20">
        <f>226.9-AA23-AA24</f>
        <v>99.600000000000009</v>
      </c>
      <c r="AB22" s="20">
        <f>302.9-AB23-AB24</f>
        <v>96.599999999999966</v>
      </c>
      <c r="AC22" s="20">
        <f>207.7-AC23-AC24</f>
        <v>75.699999999999989</v>
      </c>
      <c r="AD22" s="20">
        <f>253.7-AD23-AD24</f>
        <v>99.6</v>
      </c>
      <c r="AE22" s="20">
        <f>261.6-AE23-AE24</f>
        <v>119.50000000000003</v>
      </c>
      <c r="AF22" s="20">
        <f>311.4-AF23-AF24</f>
        <v>134</v>
      </c>
      <c r="AG22" s="20">
        <f>272.2-AG23-AG24</f>
        <v>145.6</v>
      </c>
      <c r="AH22" s="20">
        <f>274-AH23-AH24</f>
        <v>147.5</v>
      </c>
      <c r="AI22" s="20">
        <f>259.5-AI23-AI24</f>
        <v>165.6</v>
      </c>
      <c r="AJ22" s="20">
        <f>333.9-AJ23-AJ24</f>
        <v>183.89999999999998</v>
      </c>
      <c r="AK22" s="20">
        <f>343.9-AK23-AK24</f>
        <v>215.29999999999998</v>
      </c>
      <c r="AL22" s="21">
        <v>198.7</v>
      </c>
      <c r="AM22" s="21">
        <v>198</v>
      </c>
      <c r="AN22" s="21">
        <v>239.3</v>
      </c>
      <c r="AO22" s="21">
        <v>253.3</v>
      </c>
      <c r="AP22" s="21">
        <v>237.5</v>
      </c>
      <c r="AQ22" s="21">
        <v>234.4</v>
      </c>
      <c r="AR22" s="21">
        <v>260.5</v>
      </c>
      <c r="AS22" s="21">
        <v>221.2</v>
      </c>
      <c r="AT22" s="21">
        <v>133.5</v>
      </c>
      <c r="AU22" s="21">
        <v>175.8</v>
      </c>
      <c r="AV22" s="21">
        <v>165</v>
      </c>
      <c r="AW22" s="21">
        <v>184.6</v>
      </c>
      <c r="AX22" s="21">
        <v>177.4</v>
      </c>
      <c r="AY22" s="66">
        <v>169.1</v>
      </c>
      <c r="AZ22" s="67">
        <v>171.1</v>
      </c>
      <c r="BA22" s="67">
        <v>172.2</v>
      </c>
      <c r="BB22" s="68">
        <v>171.2</v>
      </c>
      <c r="BC22" s="100">
        <v>156.30000000000001</v>
      </c>
      <c r="BD22" s="101">
        <v>170.6</v>
      </c>
      <c r="BE22" s="101">
        <v>203.8</v>
      </c>
      <c r="BF22" s="102">
        <v>196.3</v>
      </c>
      <c r="BI22" s="6"/>
    </row>
    <row r="23" spans="2:61" x14ac:dyDescent="0.25">
      <c r="B23" t="s">
        <v>65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9" t="s">
        <v>66</v>
      </c>
      <c r="S23" s="19"/>
      <c r="T23" s="19"/>
      <c r="U23" s="19">
        <v>58.3</v>
      </c>
      <c r="V23" s="19">
        <v>83</v>
      </c>
      <c r="W23" s="19">
        <v>116.4</v>
      </c>
      <c r="X23" s="19">
        <v>215</v>
      </c>
      <c r="Y23" s="19">
        <v>124.6</v>
      </c>
      <c r="Z23" s="19">
        <v>173.8</v>
      </c>
      <c r="AA23" s="20">
        <v>127.3</v>
      </c>
      <c r="AB23" s="20">
        <f>289.6-83.3</f>
        <v>206.3</v>
      </c>
      <c r="AC23" s="20">
        <v>132</v>
      </c>
      <c r="AD23" s="20">
        <f>154.1</f>
        <v>154.1</v>
      </c>
      <c r="AE23" s="20">
        <v>142.1</v>
      </c>
      <c r="AF23" s="20">
        <f>221.2-43.8</f>
        <v>177.39999999999998</v>
      </c>
      <c r="AG23" s="20">
        <v>126.6</v>
      </c>
      <c r="AH23" s="20">
        <v>126.5</v>
      </c>
      <c r="AI23" s="20">
        <v>93.9</v>
      </c>
      <c r="AJ23" s="20">
        <f>145.5+4.5</f>
        <v>150</v>
      </c>
      <c r="AK23" s="20">
        <v>128.6</v>
      </c>
      <c r="AL23" s="21">
        <f>77.8+4.1</f>
        <v>81.899999999999991</v>
      </c>
      <c r="AM23" s="21">
        <v>32</v>
      </c>
      <c r="AN23" s="21">
        <v>41.8</v>
      </c>
      <c r="AO23" s="21">
        <v>98.9</v>
      </c>
      <c r="AP23" s="21">
        <v>147.80000000000001</v>
      </c>
      <c r="AQ23" s="21">
        <v>47.4</v>
      </c>
      <c r="AR23" s="21">
        <v>16.7</v>
      </c>
      <c r="AS23" s="21">
        <v>109</v>
      </c>
      <c r="AT23" s="21">
        <v>68.2</v>
      </c>
      <c r="AU23" s="21">
        <v>55.2</v>
      </c>
      <c r="AV23" s="21">
        <v>66.7</v>
      </c>
      <c r="AW23" s="21">
        <v>88.4</v>
      </c>
      <c r="AX23" s="21">
        <v>109.9</v>
      </c>
      <c r="AY23" s="66">
        <v>83.2</v>
      </c>
      <c r="AZ23" s="67">
        <v>94.5</v>
      </c>
      <c r="BA23" s="67">
        <v>131</v>
      </c>
      <c r="BB23" s="68">
        <v>156.6</v>
      </c>
      <c r="BC23" s="100">
        <v>28.6</v>
      </c>
      <c r="BD23" s="101">
        <v>55.5</v>
      </c>
      <c r="BE23" s="101">
        <v>66.400000000000006</v>
      </c>
      <c r="BF23" s="102">
        <v>98.7</v>
      </c>
      <c r="BI23" s="6"/>
    </row>
    <row r="24" spans="2:61" x14ac:dyDescent="0.25">
      <c r="B24" t="s">
        <v>67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66">
        <v>0</v>
      </c>
      <c r="AZ24" s="69">
        <v>0</v>
      </c>
      <c r="BA24" s="69">
        <v>0</v>
      </c>
      <c r="BB24" s="70">
        <v>0</v>
      </c>
      <c r="BC24" s="115">
        <v>0</v>
      </c>
      <c r="BD24" s="116">
        <v>4.0999999999999996</v>
      </c>
      <c r="BE24" s="116">
        <v>1.9</v>
      </c>
      <c r="BF24" s="117">
        <v>12</v>
      </c>
      <c r="BI24" s="6"/>
    </row>
    <row r="25" spans="2:61" x14ac:dyDescent="0.25">
      <c r="B25" t="s">
        <v>68</v>
      </c>
      <c r="C25" s="22">
        <v>86.6</v>
      </c>
      <c r="D25" s="22">
        <v>146.6</v>
      </c>
      <c r="E25" s="22">
        <v>124.1</v>
      </c>
      <c r="F25" s="22">
        <v>130.9</v>
      </c>
      <c r="G25" s="22">
        <v>124.8</v>
      </c>
      <c r="H25" s="22">
        <v>193</v>
      </c>
      <c r="I25" s="22">
        <v>87.9</v>
      </c>
      <c r="J25" s="22">
        <v>81.7</v>
      </c>
      <c r="K25" s="22">
        <v>29</v>
      </c>
      <c r="L25" s="22">
        <v>39.700000000000003</v>
      </c>
      <c r="M25" s="22">
        <v>30.7</v>
      </c>
      <c r="N25" s="22">
        <v>41.7</v>
      </c>
      <c r="O25" s="22">
        <v>36.9</v>
      </c>
      <c r="P25" s="22">
        <v>74.8</v>
      </c>
      <c r="Q25" s="22">
        <v>46.7</v>
      </c>
      <c r="R25" s="22">
        <v>60.6</v>
      </c>
      <c r="S25" s="22">
        <v>54.3</v>
      </c>
      <c r="T25" s="22">
        <v>87.1</v>
      </c>
      <c r="U25" s="22">
        <f t="shared" ref="U25:AU25" si="21">+U24+U23+U22</f>
        <v>143.69999999999999</v>
      </c>
      <c r="V25" s="22">
        <f t="shared" si="21"/>
        <v>177.4</v>
      </c>
      <c r="W25" s="22">
        <f t="shared" si="21"/>
        <v>195.9</v>
      </c>
      <c r="X25" s="22">
        <f t="shared" si="21"/>
        <v>298</v>
      </c>
      <c r="Y25" s="22">
        <f t="shared" si="21"/>
        <v>219.3</v>
      </c>
      <c r="Z25" s="22">
        <f t="shared" si="21"/>
        <v>267.3</v>
      </c>
      <c r="AA25" s="21">
        <f t="shared" si="21"/>
        <v>226.9</v>
      </c>
      <c r="AB25" s="21">
        <f t="shared" si="21"/>
        <v>302.89999999999998</v>
      </c>
      <c r="AC25" s="21">
        <f t="shared" si="21"/>
        <v>207.7</v>
      </c>
      <c r="AD25" s="21">
        <f t="shared" si="21"/>
        <v>253.7</v>
      </c>
      <c r="AE25" s="21">
        <f t="shared" si="21"/>
        <v>261.60000000000002</v>
      </c>
      <c r="AF25" s="21">
        <f t="shared" si="21"/>
        <v>311.39999999999998</v>
      </c>
      <c r="AG25" s="21">
        <f t="shared" si="21"/>
        <v>272.2</v>
      </c>
      <c r="AH25" s="21">
        <f t="shared" si="21"/>
        <v>274</v>
      </c>
      <c r="AI25" s="21">
        <f t="shared" si="21"/>
        <v>259.5</v>
      </c>
      <c r="AJ25" s="21">
        <f t="shared" si="21"/>
        <v>333.9</v>
      </c>
      <c r="AK25" s="21">
        <f t="shared" si="21"/>
        <v>343.9</v>
      </c>
      <c r="AL25" s="21">
        <f t="shared" si="21"/>
        <v>280.59999999999997</v>
      </c>
      <c r="AM25" s="21">
        <f t="shared" si="21"/>
        <v>230</v>
      </c>
      <c r="AN25" s="21">
        <f t="shared" si="21"/>
        <v>281.10000000000002</v>
      </c>
      <c r="AO25" s="21">
        <f t="shared" si="21"/>
        <v>352.20000000000005</v>
      </c>
      <c r="AP25" s="21">
        <f t="shared" si="21"/>
        <v>385.3</v>
      </c>
      <c r="AQ25" s="21">
        <f t="shared" si="21"/>
        <v>281.8</v>
      </c>
      <c r="AR25" s="21">
        <f t="shared" si="21"/>
        <v>277.2</v>
      </c>
      <c r="AS25" s="21">
        <f t="shared" si="21"/>
        <v>330.2</v>
      </c>
      <c r="AT25" s="21">
        <f t="shared" si="21"/>
        <v>201.7</v>
      </c>
      <c r="AU25" s="21">
        <f t="shared" si="21"/>
        <v>231</v>
      </c>
      <c r="AV25" s="21">
        <f t="shared" ref="AV25:BA25" si="22">+AV24+AV23+AV22</f>
        <v>231.7</v>
      </c>
      <c r="AW25" s="21">
        <f t="shared" si="22"/>
        <v>273</v>
      </c>
      <c r="AX25" s="21">
        <f t="shared" si="22"/>
        <v>287.3</v>
      </c>
      <c r="AY25" s="66">
        <f t="shared" si="22"/>
        <v>252.3</v>
      </c>
      <c r="AZ25" s="69">
        <f t="shared" si="22"/>
        <v>265.60000000000002</v>
      </c>
      <c r="BA25" s="69">
        <f t="shared" si="22"/>
        <v>303.2</v>
      </c>
      <c r="BB25" s="70">
        <f t="shared" ref="BB25:BC25" si="23">+BB24+BB23+BB22</f>
        <v>327.79999999999995</v>
      </c>
      <c r="BC25" s="115">
        <f t="shared" si="23"/>
        <v>184.9</v>
      </c>
      <c r="BD25" s="116">
        <f t="shared" ref="BD25:BE25" si="24">+BD24+BD23+BD22</f>
        <v>230.2</v>
      </c>
      <c r="BE25" s="116">
        <f t="shared" si="24"/>
        <v>272.10000000000002</v>
      </c>
      <c r="BF25" s="117">
        <f t="shared" ref="BF25" si="25">+BF24+BF23+BF22</f>
        <v>307</v>
      </c>
      <c r="BI25" s="6"/>
    </row>
    <row r="26" spans="2:61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2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63"/>
      <c r="AZ26" s="57"/>
      <c r="BA26" s="57"/>
      <c r="BB26" s="58"/>
      <c r="BC26" s="108"/>
      <c r="BD26" s="106"/>
      <c r="BE26" s="106"/>
      <c r="BF26" s="107"/>
      <c r="BI26" s="6"/>
    </row>
    <row r="27" spans="2:61" x14ac:dyDescent="0.25">
      <c r="B27" s="24" t="s">
        <v>69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5" t="s">
        <v>70</v>
      </c>
      <c r="V27" s="25"/>
      <c r="W27" s="25"/>
      <c r="X27" s="14"/>
      <c r="Y27" s="14"/>
      <c r="Z27" s="14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63"/>
      <c r="AZ27" s="57"/>
      <c r="BA27" s="57"/>
      <c r="BB27" s="58"/>
      <c r="BC27" s="108"/>
      <c r="BD27" s="106"/>
      <c r="BE27" s="106"/>
      <c r="BF27" s="107"/>
      <c r="BI27" s="6"/>
    </row>
    <row r="28" spans="2:61" x14ac:dyDescent="0.25">
      <c r="B28" s="11" t="s">
        <v>71</v>
      </c>
      <c r="C28" s="22">
        <v>1082.8</v>
      </c>
      <c r="D28" s="22">
        <v>1081.3</v>
      </c>
      <c r="E28" s="22">
        <v>1147.0999999999999</v>
      </c>
      <c r="F28" s="22">
        <v>1020.7</v>
      </c>
      <c r="G28" s="22">
        <v>872.9</v>
      </c>
      <c r="H28" s="22">
        <v>770.1</v>
      </c>
      <c r="I28" s="22">
        <v>769.1</v>
      </c>
      <c r="J28" s="22">
        <v>716.3</v>
      </c>
      <c r="K28" s="22">
        <v>795.6</v>
      </c>
      <c r="L28" s="22">
        <v>757.6</v>
      </c>
      <c r="M28" s="22">
        <v>720.7</v>
      </c>
      <c r="N28" s="22">
        <v>760</v>
      </c>
      <c r="O28" s="22">
        <v>746.9</v>
      </c>
      <c r="P28" s="22">
        <v>813.5</v>
      </c>
      <c r="Q28" s="22">
        <v>824.2</v>
      </c>
      <c r="R28" s="22">
        <v>911.8</v>
      </c>
      <c r="S28" s="22">
        <v>960</v>
      </c>
      <c r="T28" s="22">
        <v>1143.5</v>
      </c>
      <c r="U28" s="22">
        <v>1137.0999999999999</v>
      </c>
      <c r="V28" s="22">
        <v>1110.5</v>
      </c>
      <c r="W28" s="22">
        <v>1187.2</v>
      </c>
      <c r="X28" s="22">
        <v>1231.9000000000001</v>
      </c>
      <c r="Y28" s="22">
        <v>1249.8</v>
      </c>
      <c r="Z28" s="22">
        <v>1266.9000000000001</v>
      </c>
      <c r="AA28" s="21">
        <v>1458.8</v>
      </c>
      <c r="AB28" s="21">
        <v>1526.4</v>
      </c>
      <c r="AC28" s="21">
        <v>1389.9</v>
      </c>
      <c r="AD28" s="21">
        <v>1538.9</v>
      </c>
      <c r="AE28" s="21">
        <v>1947.5</v>
      </c>
      <c r="AF28" s="21">
        <v>1669.6</v>
      </c>
      <c r="AG28" s="21">
        <v>1417.1</v>
      </c>
      <c r="AH28" s="21">
        <v>1530.5</v>
      </c>
      <c r="AI28" s="21">
        <v>1221.5999999999999</v>
      </c>
      <c r="AJ28" s="21">
        <v>1674.4</v>
      </c>
      <c r="AK28" s="21">
        <v>1733.8</v>
      </c>
      <c r="AL28" s="21">
        <v>1732.2</v>
      </c>
      <c r="AM28" s="21">
        <v>1392.7</v>
      </c>
      <c r="AN28" s="21">
        <v>1380.8</v>
      </c>
      <c r="AO28" s="21">
        <v>1693.4</v>
      </c>
      <c r="AP28" s="21">
        <v>2072.1</v>
      </c>
      <c r="AQ28" s="21">
        <v>1736.5</v>
      </c>
      <c r="AR28" s="21">
        <v>1821.9</v>
      </c>
      <c r="AS28" s="21">
        <v>1303.3</v>
      </c>
      <c r="AT28" s="21">
        <v>1084.9000000000001</v>
      </c>
      <c r="AU28" s="21">
        <v>1849</v>
      </c>
      <c r="AV28" s="21">
        <v>1962.2</v>
      </c>
      <c r="AW28" s="21">
        <v>2250.8000000000002</v>
      </c>
      <c r="AX28" s="21">
        <v>2100.6999999999998</v>
      </c>
      <c r="AY28" s="66">
        <v>1854.5</v>
      </c>
      <c r="AZ28" s="69">
        <f>3728.3-AY28</f>
        <v>1873.8000000000002</v>
      </c>
      <c r="BA28" s="69">
        <v>2119.5</v>
      </c>
      <c r="BB28" s="70">
        <v>1981.6</v>
      </c>
      <c r="BC28" s="115">
        <v>1807.3</v>
      </c>
      <c r="BD28" s="116">
        <f>3807-BC28</f>
        <v>1999.7</v>
      </c>
      <c r="BE28" s="116">
        <v>2165.6999999999998</v>
      </c>
      <c r="BF28" s="117">
        <v>2263.3000000000002</v>
      </c>
      <c r="BI28" s="6"/>
    </row>
    <row r="29" spans="2:61" x14ac:dyDescent="0.25">
      <c r="B29" s="11" t="s">
        <v>72</v>
      </c>
      <c r="C29" s="26">
        <v>-564.70000000000005</v>
      </c>
      <c r="D29" s="26">
        <f>-583.7+38.3</f>
        <v>-545.40000000000009</v>
      </c>
      <c r="E29" s="26">
        <f>-611.2-38.3</f>
        <v>-649.5</v>
      </c>
      <c r="F29" s="26">
        <v>-609.1</v>
      </c>
      <c r="G29" s="26">
        <v>-605.9</v>
      </c>
      <c r="H29" s="26">
        <v>-595.79999999999995</v>
      </c>
      <c r="I29" s="26">
        <v>-636.1</v>
      </c>
      <c r="J29" s="26">
        <v>-648</v>
      </c>
      <c r="K29" s="26">
        <v>-637.6</v>
      </c>
      <c r="L29" s="26">
        <v>-636.79999999999995</v>
      </c>
      <c r="M29" s="26">
        <v>-621.9</v>
      </c>
      <c r="N29" s="26">
        <v>-625.1</v>
      </c>
      <c r="O29" s="26">
        <v>-613.9</v>
      </c>
      <c r="P29" s="26">
        <v>-625.4</v>
      </c>
      <c r="Q29" s="26">
        <v>-656</v>
      </c>
      <c r="R29" s="26">
        <v>-674.6</v>
      </c>
      <c r="S29" s="26">
        <v>-680.5</v>
      </c>
      <c r="T29" s="26">
        <v>-703.3</v>
      </c>
      <c r="U29" s="26">
        <v>-650</v>
      </c>
      <c r="V29" s="26">
        <v>-660.5</v>
      </c>
      <c r="W29" s="26">
        <v>-677.3</v>
      </c>
      <c r="X29" s="26">
        <v>-683.7</v>
      </c>
      <c r="Y29" s="26">
        <v>-723.5</v>
      </c>
      <c r="Z29" s="26">
        <v>-744.2</v>
      </c>
      <c r="AA29" s="27">
        <v>-723.3</v>
      </c>
      <c r="AB29" s="27">
        <v>-741.5</v>
      </c>
      <c r="AC29" s="27">
        <v>-880.6</v>
      </c>
      <c r="AD29" s="27">
        <v>-876.8</v>
      </c>
      <c r="AE29" s="27">
        <v>-867.7</v>
      </c>
      <c r="AF29" s="27">
        <v>-905.4</v>
      </c>
      <c r="AG29" s="27">
        <v>-950.1</v>
      </c>
      <c r="AH29" s="27">
        <v>-938.2</v>
      </c>
      <c r="AI29" s="27">
        <v>-925</v>
      </c>
      <c r="AJ29" s="27">
        <v>-1018.8</v>
      </c>
      <c r="AK29" s="27">
        <v>-1038</v>
      </c>
      <c r="AL29" s="27">
        <v>-997.4</v>
      </c>
      <c r="AM29" s="27">
        <v>-931.7</v>
      </c>
      <c r="AN29" s="27">
        <v>-998.2</v>
      </c>
      <c r="AO29" s="27">
        <v>-1018.7</v>
      </c>
      <c r="AP29" s="27">
        <v>-977.7</v>
      </c>
      <c r="AQ29" s="27">
        <v>-1040.8</v>
      </c>
      <c r="AR29" s="27">
        <v>-1088.8</v>
      </c>
      <c r="AS29" s="27">
        <v>-1156</v>
      </c>
      <c r="AT29" s="27">
        <v>-1028.5</v>
      </c>
      <c r="AU29" s="27">
        <v>-1166.4000000000001</v>
      </c>
      <c r="AV29" s="27">
        <v>-1266.9000000000001</v>
      </c>
      <c r="AW29" s="27">
        <v>-1275.5999999999999</v>
      </c>
      <c r="AX29" s="27">
        <v>-1209.9000000000001</v>
      </c>
      <c r="AY29" s="71">
        <v>-1141.8</v>
      </c>
      <c r="AZ29" s="27">
        <f>-2370.5-AY29</f>
        <v>-1228.7</v>
      </c>
      <c r="BA29" s="27">
        <v>-1304.5</v>
      </c>
      <c r="BB29" s="72">
        <v>-1237.3</v>
      </c>
      <c r="BC29" s="118">
        <v>-1255.4000000000001</v>
      </c>
      <c r="BD29" s="26">
        <f>-2593-BC29</f>
        <v>-1337.6</v>
      </c>
      <c r="BE29" s="26">
        <v>-1412.2</v>
      </c>
      <c r="BF29" s="119">
        <v>-1229</v>
      </c>
      <c r="BI29" s="6"/>
    </row>
    <row r="30" spans="2:61" x14ac:dyDescent="0.25">
      <c r="B30" s="11" t="s">
        <v>73</v>
      </c>
      <c r="C30" s="22">
        <f>+C29+C28</f>
        <v>518.09999999999991</v>
      </c>
      <c r="D30" s="22">
        <f>+D29+D28</f>
        <v>535.89999999999986</v>
      </c>
      <c r="E30" s="22">
        <f t="shared" ref="E30:AZ30" si="26">+E29+E28</f>
        <v>497.59999999999991</v>
      </c>
      <c r="F30" s="22">
        <f t="shared" si="26"/>
        <v>411.6</v>
      </c>
      <c r="G30" s="22">
        <f t="shared" si="26"/>
        <v>267</v>
      </c>
      <c r="H30" s="22">
        <f t="shared" si="26"/>
        <v>174.30000000000007</v>
      </c>
      <c r="I30" s="22">
        <f t="shared" si="26"/>
        <v>133</v>
      </c>
      <c r="J30" s="22">
        <f t="shared" si="26"/>
        <v>68.299999999999955</v>
      </c>
      <c r="K30" s="22">
        <f t="shared" si="26"/>
        <v>158</v>
      </c>
      <c r="L30" s="22">
        <f t="shared" si="26"/>
        <v>120.80000000000007</v>
      </c>
      <c r="M30" s="22">
        <f t="shared" si="26"/>
        <v>98.800000000000068</v>
      </c>
      <c r="N30" s="22">
        <f t="shared" si="26"/>
        <v>134.89999999999998</v>
      </c>
      <c r="O30" s="22">
        <f t="shared" si="26"/>
        <v>133</v>
      </c>
      <c r="P30" s="22">
        <f t="shared" si="26"/>
        <v>188.10000000000002</v>
      </c>
      <c r="Q30" s="22">
        <f t="shared" si="26"/>
        <v>168.20000000000005</v>
      </c>
      <c r="R30" s="22">
        <f t="shared" si="26"/>
        <v>237.19999999999993</v>
      </c>
      <c r="S30" s="22">
        <f t="shared" si="26"/>
        <v>279.5</v>
      </c>
      <c r="T30" s="22">
        <f t="shared" si="26"/>
        <v>440.20000000000005</v>
      </c>
      <c r="U30" s="22">
        <f t="shared" si="26"/>
        <v>487.09999999999991</v>
      </c>
      <c r="V30" s="22">
        <f t="shared" si="26"/>
        <v>450</v>
      </c>
      <c r="W30" s="22">
        <f t="shared" si="26"/>
        <v>509.90000000000009</v>
      </c>
      <c r="X30" s="22">
        <f t="shared" si="26"/>
        <v>548.20000000000005</v>
      </c>
      <c r="Y30" s="22">
        <f t="shared" si="26"/>
        <v>526.29999999999995</v>
      </c>
      <c r="Z30" s="22">
        <f t="shared" si="26"/>
        <v>522.70000000000005</v>
      </c>
      <c r="AA30" s="21">
        <f t="shared" si="26"/>
        <v>735.5</v>
      </c>
      <c r="AB30" s="21">
        <f t="shared" si="26"/>
        <v>784.90000000000009</v>
      </c>
      <c r="AC30" s="21">
        <f t="shared" si="26"/>
        <v>509.30000000000007</v>
      </c>
      <c r="AD30" s="21">
        <f t="shared" si="26"/>
        <v>662.10000000000014</v>
      </c>
      <c r="AE30" s="21">
        <f t="shared" si="26"/>
        <v>1079.8</v>
      </c>
      <c r="AF30" s="21">
        <f t="shared" si="26"/>
        <v>764.19999999999993</v>
      </c>
      <c r="AG30" s="21">
        <f t="shared" si="26"/>
        <v>466.99999999999989</v>
      </c>
      <c r="AH30" s="21">
        <f t="shared" si="26"/>
        <v>592.29999999999995</v>
      </c>
      <c r="AI30" s="21">
        <f t="shared" si="26"/>
        <v>296.59999999999991</v>
      </c>
      <c r="AJ30" s="21">
        <f t="shared" si="26"/>
        <v>655.60000000000014</v>
      </c>
      <c r="AK30" s="21">
        <f t="shared" si="26"/>
        <v>695.8</v>
      </c>
      <c r="AL30" s="21">
        <f t="shared" si="26"/>
        <v>734.80000000000007</v>
      </c>
      <c r="AM30" s="21">
        <f t="shared" si="26"/>
        <v>461</v>
      </c>
      <c r="AN30" s="21">
        <f t="shared" si="26"/>
        <v>382.59999999999991</v>
      </c>
      <c r="AO30" s="21">
        <f t="shared" si="26"/>
        <v>674.7</v>
      </c>
      <c r="AP30" s="21">
        <f t="shared" si="26"/>
        <v>1094.3999999999999</v>
      </c>
      <c r="AQ30" s="21">
        <f t="shared" si="26"/>
        <v>695.7</v>
      </c>
      <c r="AR30" s="21">
        <f t="shared" si="26"/>
        <v>733.10000000000014</v>
      </c>
      <c r="AS30" s="21">
        <f t="shared" si="26"/>
        <v>147.29999999999995</v>
      </c>
      <c r="AT30" s="21">
        <f t="shared" si="26"/>
        <v>56.400000000000091</v>
      </c>
      <c r="AU30" s="21">
        <f t="shared" si="26"/>
        <v>682.59999999999991</v>
      </c>
      <c r="AV30" s="21">
        <f t="shared" si="26"/>
        <v>695.3</v>
      </c>
      <c r="AW30" s="21">
        <f t="shared" si="26"/>
        <v>975.20000000000027</v>
      </c>
      <c r="AX30" s="21">
        <f t="shared" si="26"/>
        <v>890.79999999999973</v>
      </c>
      <c r="AY30" s="66">
        <f t="shared" si="26"/>
        <v>712.7</v>
      </c>
      <c r="AZ30" s="69">
        <f t="shared" si="26"/>
        <v>645.10000000000014</v>
      </c>
      <c r="BA30" s="69">
        <f t="shared" ref="BA30:BB30" si="27">+BA29+BA28</f>
        <v>815</v>
      </c>
      <c r="BB30" s="70">
        <f t="shared" si="27"/>
        <v>744.3</v>
      </c>
      <c r="BC30" s="115">
        <f t="shared" ref="BC30:BD30" si="28">+BC29+BC28</f>
        <v>551.89999999999986</v>
      </c>
      <c r="BD30" s="116">
        <f t="shared" si="28"/>
        <v>662.10000000000014</v>
      </c>
      <c r="BE30" s="116">
        <f t="shared" ref="BE30:BF30" si="29">+BE29+BE28</f>
        <v>753.49999999999977</v>
      </c>
      <c r="BF30" s="117">
        <f t="shared" si="29"/>
        <v>1034.3000000000002</v>
      </c>
      <c r="BI30" s="6"/>
    </row>
    <row r="31" spans="2:61" x14ac:dyDescent="0.25">
      <c r="B31" s="11" t="s">
        <v>74</v>
      </c>
      <c r="C31" s="22">
        <v>-57.5</v>
      </c>
      <c r="D31" s="22">
        <v>-62.6</v>
      </c>
      <c r="E31" s="22">
        <v>-53.8</v>
      </c>
      <c r="F31" s="22">
        <v>-60.1</v>
      </c>
      <c r="G31" s="22">
        <v>-54.3</v>
      </c>
      <c r="H31" s="22">
        <v>-58.8</v>
      </c>
      <c r="I31" s="22">
        <v>-57.1</v>
      </c>
      <c r="J31" s="22">
        <v>-53.6</v>
      </c>
      <c r="K31" s="22">
        <v>-60.1</v>
      </c>
      <c r="L31" s="22">
        <v>-62.2</v>
      </c>
      <c r="M31" s="22">
        <v>-58.4</v>
      </c>
      <c r="N31" s="22">
        <v>-58.4</v>
      </c>
      <c r="O31" s="22">
        <v>-62.2</v>
      </c>
      <c r="P31" s="22">
        <v>-66.5</v>
      </c>
      <c r="Q31" s="22">
        <v>-61.3</v>
      </c>
      <c r="R31" s="22">
        <v>-61.5</v>
      </c>
      <c r="S31" s="22">
        <v>-60.9</v>
      </c>
      <c r="T31" s="22">
        <v>-75.2</v>
      </c>
      <c r="U31" s="22">
        <v>-119.8</v>
      </c>
      <c r="V31" s="22">
        <v>-122.4</v>
      </c>
      <c r="W31" s="22">
        <v>-119.6</v>
      </c>
      <c r="X31" s="22">
        <v>-121.9</v>
      </c>
      <c r="Y31" s="22">
        <v>-144.9</v>
      </c>
      <c r="Z31" s="22">
        <v>-141</v>
      </c>
      <c r="AA31" s="21">
        <v>-118</v>
      </c>
      <c r="AB31" s="21">
        <v>-144.4</v>
      </c>
      <c r="AC31" s="21">
        <v>-139.6</v>
      </c>
      <c r="AD31" s="21">
        <v>-143.4</v>
      </c>
      <c r="AE31" s="21">
        <v>-167.4</v>
      </c>
      <c r="AF31" s="21">
        <v>-174.5</v>
      </c>
      <c r="AG31" s="21">
        <v>-145.5</v>
      </c>
      <c r="AH31" s="21">
        <v>-147.1</v>
      </c>
      <c r="AI31" s="21">
        <v>-139.1</v>
      </c>
      <c r="AJ31" s="21">
        <v>-190</v>
      </c>
      <c r="AK31" s="21">
        <v>-220.3</v>
      </c>
      <c r="AL31" s="21">
        <v>-233</v>
      </c>
      <c r="AM31" s="21">
        <v>-189.2</v>
      </c>
      <c r="AN31" s="21">
        <v>-199.8</v>
      </c>
      <c r="AO31" s="21">
        <v>-218</v>
      </c>
      <c r="AP31" s="21">
        <v>-243.1</v>
      </c>
      <c r="AQ31" s="21">
        <v>-220.5</v>
      </c>
      <c r="AR31" s="21">
        <v>-288.10000000000002</v>
      </c>
      <c r="AS31" s="21">
        <v>-230.9</v>
      </c>
      <c r="AT31" s="21">
        <v>-247</v>
      </c>
      <c r="AU31" s="21">
        <v>-284.2</v>
      </c>
      <c r="AV31" s="21">
        <v>-341.3</v>
      </c>
      <c r="AW31" s="21">
        <v>-465.6</v>
      </c>
      <c r="AX31" s="21">
        <v>-366.9</v>
      </c>
      <c r="AY31" s="66">
        <v>-275</v>
      </c>
      <c r="AZ31" s="69">
        <f>-547.1-AY31</f>
        <v>-272.10000000000002</v>
      </c>
      <c r="BA31" s="69">
        <v>-290.7</v>
      </c>
      <c r="BB31" s="70">
        <v>-291.5</v>
      </c>
      <c r="BC31" s="115">
        <v>-248.6</v>
      </c>
      <c r="BD31" s="116">
        <f>-525.1-BC31</f>
        <v>-276.5</v>
      </c>
      <c r="BE31" s="116">
        <v>-302.3</v>
      </c>
      <c r="BF31" s="117">
        <v>-315.2</v>
      </c>
      <c r="BI31" s="6"/>
    </row>
    <row r="32" spans="2:61" x14ac:dyDescent="0.25">
      <c r="B32" s="11" t="s">
        <v>75</v>
      </c>
      <c r="C32" s="22">
        <f>1.5-9.9</f>
        <v>-8.4</v>
      </c>
      <c r="D32" s="22">
        <v>1.4</v>
      </c>
      <c r="E32" s="22">
        <v>8.1</v>
      </c>
      <c r="F32" s="22">
        <v>-5</v>
      </c>
      <c r="G32" s="22">
        <v>-4.5999999999999996</v>
      </c>
      <c r="H32" s="22">
        <f>-9.2-17.1</f>
        <v>-26.3</v>
      </c>
      <c r="I32" s="22">
        <f>-6.2+187.2</f>
        <v>181</v>
      </c>
      <c r="J32" s="22">
        <f>-11-1</f>
        <v>-12</v>
      </c>
      <c r="K32" s="22">
        <f>-18.1-0.9</f>
        <v>-19</v>
      </c>
      <c r="L32" s="22">
        <v>-37.9</v>
      </c>
      <c r="M32" s="22">
        <v>26.4</v>
      </c>
      <c r="N32" s="22">
        <v>24.4</v>
      </c>
      <c r="O32" s="22">
        <v>-33.1</v>
      </c>
      <c r="P32" s="22">
        <f>13.9-13.2</f>
        <v>0.70000000000000107</v>
      </c>
      <c r="Q32" s="22">
        <v>-11.3</v>
      </c>
      <c r="R32" s="22">
        <f>-11.2+0.1</f>
        <v>-11.1</v>
      </c>
      <c r="S32" s="22">
        <f>-9.8+0.8</f>
        <v>-9</v>
      </c>
      <c r="T32" s="22">
        <f>-11.8+0.1</f>
        <v>-11.700000000000001</v>
      </c>
      <c r="U32" s="22">
        <f>-8.8+4.5</f>
        <v>-4.3000000000000007</v>
      </c>
      <c r="V32" s="22">
        <f>-10.8+0.8</f>
        <v>-10</v>
      </c>
      <c r="W32" s="22">
        <v>-7.7</v>
      </c>
      <c r="X32" s="22">
        <f>-0.6+19</f>
        <v>18.399999999999999</v>
      </c>
      <c r="Y32" s="22">
        <f>-19.6+21.7</f>
        <v>2.0999999999999979</v>
      </c>
      <c r="Z32" s="22">
        <v>-17.5</v>
      </c>
      <c r="AA32" s="21">
        <f>-44.1-44.7</f>
        <v>-88.800000000000011</v>
      </c>
      <c r="AB32" s="21">
        <f>-18.9+21.2</f>
        <v>2.3000000000000007</v>
      </c>
      <c r="AC32" s="21">
        <f>-29.9+1.7</f>
        <v>-28.2</v>
      </c>
      <c r="AD32" s="21">
        <f>-50.1</f>
        <v>-50.1</v>
      </c>
      <c r="AE32" s="21">
        <f>-49.8+1.2</f>
        <v>-48.599999999999994</v>
      </c>
      <c r="AF32" s="21">
        <f>-26.2-36.5</f>
        <v>-62.7</v>
      </c>
      <c r="AG32" s="21">
        <f>-22.9+0.8</f>
        <v>-22.099999999999998</v>
      </c>
      <c r="AH32" s="21">
        <f>-26.9+1</f>
        <v>-25.9</v>
      </c>
      <c r="AI32" s="21">
        <f>-14-0</f>
        <v>-14</v>
      </c>
      <c r="AJ32" s="21">
        <f>-28.5-0.9</f>
        <v>-29.4</v>
      </c>
      <c r="AK32" s="21">
        <f>-23.5-35.9</f>
        <v>-59.4</v>
      </c>
      <c r="AL32" s="21">
        <f>-28-477.5</f>
        <v>-505.5</v>
      </c>
      <c r="AM32" s="21">
        <f>-22.3-15.1</f>
        <v>-37.4</v>
      </c>
      <c r="AN32" s="21">
        <f>-23.8-13.8</f>
        <v>-37.6</v>
      </c>
      <c r="AO32" s="21">
        <f>-21.2-61.4</f>
        <v>-82.6</v>
      </c>
      <c r="AP32" s="21">
        <f>-31.7-75.3</f>
        <v>-107</v>
      </c>
      <c r="AQ32" s="21">
        <f>-24.7-14.5</f>
        <v>-39.200000000000003</v>
      </c>
      <c r="AR32" s="21">
        <f>-31.8-6.7</f>
        <v>-38.5</v>
      </c>
      <c r="AS32" s="21">
        <f>-33.3-49.9</f>
        <v>-83.199999999999989</v>
      </c>
      <c r="AT32" s="21">
        <f>-49-13.2</f>
        <v>-62.2</v>
      </c>
      <c r="AU32" s="21">
        <v>-135.19999999999999</v>
      </c>
      <c r="AV32" s="21">
        <v>-147.4</v>
      </c>
      <c r="AW32" s="21">
        <v>-55.7</v>
      </c>
      <c r="AX32" s="21">
        <v>-49.9</v>
      </c>
      <c r="AY32" s="66">
        <v>-153.5</v>
      </c>
      <c r="AZ32" s="69">
        <v>-68.5</v>
      </c>
      <c r="BA32" s="69">
        <v>-83.5</v>
      </c>
      <c r="BB32" s="70">
        <v>-49.5</v>
      </c>
      <c r="BC32" s="115">
        <v>-51.2</v>
      </c>
      <c r="BD32" s="116">
        <f>-92.1-BC32</f>
        <v>-40.899999999999991</v>
      </c>
      <c r="BE32" s="116">
        <v>-37.200000000000003</v>
      </c>
      <c r="BF32" s="117">
        <f>-55.5-11.3</f>
        <v>-66.8</v>
      </c>
      <c r="BI32" s="6"/>
    </row>
    <row r="33" spans="2:61" x14ac:dyDescent="0.25">
      <c r="B33" s="11" t="s">
        <v>76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29"/>
      <c r="AC33" s="29"/>
      <c r="AD33" s="29"/>
      <c r="AE33" s="29"/>
      <c r="AF33" s="29"/>
      <c r="AG33" s="29"/>
      <c r="AH33" s="29"/>
      <c r="AI33" s="21">
        <v>-9.3000000000000007</v>
      </c>
      <c r="AJ33" s="21">
        <v>-34.299999999999997</v>
      </c>
      <c r="AK33" s="21">
        <v>-32.799999999999997</v>
      </c>
      <c r="AL33" s="21">
        <v>-40.1</v>
      </c>
      <c r="AM33" s="21">
        <v>-22.3</v>
      </c>
      <c r="AN33" s="21">
        <v>-14</v>
      </c>
      <c r="AO33" s="21">
        <v>-27.6</v>
      </c>
      <c r="AP33" s="21">
        <v>-67.900000000000006</v>
      </c>
      <c r="AQ33" s="21">
        <v>-34.700000000000003</v>
      </c>
      <c r="AR33" s="21">
        <v>-42</v>
      </c>
      <c r="AS33" s="21">
        <v>12</v>
      </c>
      <c r="AT33" s="21">
        <v>-1.5</v>
      </c>
      <c r="AU33" s="21">
        <v>-35.9</v>
      </c>
      <c r="AV33" s="21">
        <v>-38.1</v>
      </c>
      <c r="AW33" s="21">
        <v>-62</v>
      </c>
      <c r="AX33" s="21">
        <v>-62.3</v>
      </c>
      <c r="AY33" s="66">
        <v>-36.5</v>
      </c>
      <c r="AZ33" s="69">
        <f>-74.1-AY33</f>
        <v>-37.599999999999994</v>
      </c>
      <c r="BA33" s="69">
        <v>-49.5</v>
      </c>
      <c r="BB33" s="70">
        <v>-41.9</v>
      </c>
      <c r="BC33" s="115">
        <v>-34.799999999999997</v>
      </c>
      <c r="BD33" s="116">
        <f>-78.9-BC33</f>
        <v>-44.100000000000009</v>
      </c>
      <c r="BE33" s="116">
        <v>-46.3</v>
      </c>
      <c r="BF33" s="117">
        <v>-71.599999999999994</v>
      </c>
      <c r="BI33" s="6"/>
    </row>
    <row r="34" spans="2:61" x14ac:dyDescent="0.25">
      <c r="B34" s="11" t="s">
        <v>77</v>
      </c>
      <c r="C34" s="22">
        <v>-173.8</v>
      </c>
      <c r="D34" s="22">
        <v>-180.5</v>
      </c>
      <c r="E34" s="22">
        <v>-170</v>
      </c>
      <c r="F34" s="22">
        <v>-127.3</v>
      </c>
      <c r="G34" s="22">
        <v>-62.8</v>
      </c>
      <c r="H34" s="22">
        <v>-10.199999999999999</v>
      </c>
      <c r="I34" s="22">
        <v>42.1</v>
      </c>
      <c r="J34" s="22">
        <v>4.5</v>
      </c>
      <c r="K34" s="22">
        <v>20.2</v>
      </c>
      <c r="L34" s="22">
        <v>10.7</v>
      </c>
      <c r="M34" s="22">
        <v>-16.899999999999999</v>
      </c>
      <c r="N34" s="22">
        <v>-10.9</v>
      </c>
      <c r="O34" s="22">
        <v>13.6</v>
      </c>
      <c r="P34" s="22">
        <v>-23.8</v>
      </c>
      <c r="Q34" s="22">
        <v>-14.2</v>
      </c>
      <c r="R34" s="22">
        <v>-46.3</v>
      </c>
      <c r="S34" s="22">
        <v>-63.9</v>
      </c>
      <c r="T34" s="22">
        <v>-119.1</v>
      </c>
      <c r="U34" s="22">
        <v>-122.8</v>
      </c>
      <c r="V34" s="22">
        <v>-104.1</v>
      </c>
      <c r="W34" s="22">
        <v>-129.9</v>
      </c>
      <c r="X34" s="22">
        <v>-146.80000000000001</v>
      </c>
      <c r="Y34" s="22">
        <v>-139.4</v>
      </c>
      <c r="Z34" s="22">
        <v>-127.1</v>
      </c>
      <c r="AA34" s="21">
        <v>-182.3</v>
      </c>
      <c r="AB34" s="21">
        <v>-237.1</v>
      </c>
      <c r="AC34" s="21">
        <v>-115.2</v>
      </c>
      <c r="AD34" s="21">
        <v>-160.30000000000001</v>
      </c>
      <c r="AE34" s="21">
        <v>-328.4</v>
      </c>
      <c r="AF34" s="21">
        <v>-175.7</v>
      </c>
      <c r="AG34" s="21">
        <f>-60.3-35.6</f>
        <v>-95.9</v>
      </c>
      <c r="AH34" s="21">
        <f>-45.3-100.8</f>
        <v>-146.1</v>
      </c>
      <c r="AI34" s="21">
        <f>-46.3+16.9</f>
        <v>-29.4</v>
      </c>
      <c r="AJ34" s="21">
        <f>-49-83.9</f>
        <v>-132.9</v>
      </c>
      <c r="AK34" s="21">
        <f>-50.8-44</f>
        <v>-94.8</v>
      </c>
      <c r="AL34" s="21">
        <f>149.8-112.9</f>
        <v>36.900000000000006</v>
      </c>
      <c r="AM34" s="21">
        <f>-20.5-42.9</f>
        <v>-63.4</v>
      </c>
      <c r="AN34" s="21">
        <f>-21-2.5</f>
        <v>-23.5</v>
      </c>
      <c r="AO34" s="21">
        <f>-51.9-55.3</f>
        <v>-107.19999999999999</v>
      </c>
      <c r="AP34" s="21">
        <f>-20-235.4</f>
        <v>-255.4</v>
      </c>
      <c r="AQ34" s="21">
        <f>365.2-74.2</f>
        <v>291</v>
      </c>
      <c r="AR34" s="21">
        <f>-5.4-92.8</f>
        <v>-98.2</v>
      </c>
      <c r="AS34" s="21">
        <f>-27.3+100.9</f>
        <v>73.600000000000009</v>
      </c>
      <c r="AT34" s="21">
        <f>44.8+43.5</f>
        <v>88.3</v>
      </c>
      <c r="AU34" s="21">
        <f>-55.4+0.9</f>
        <v>-54.5</v>
      </c>
      <c r="AV34" s="21">
        <f>-63+29.6</f>
        <v>-33.4</v>
      </c>
      <c r="AW34" s="21">
        <f>-146.7+39.3</f>
        <v>-107.39999999999999</v>
      </c>
      <c r="AX34" s="21">
        <f>-162.6+104.2</f>
        <v>-58.399999999999991</v>
      </c>
      <c r="AY34" s="66">
        <f>6.4-65.3</f>
        <v>-58.9</v>
      </c>
      <c r="AZ34" s="69">
        <f>-143.3+11.4-AY34</f>
        <v>-73</v>
      </c>
      <c r="BA34" s="69">
        <f>-108.3+13.5</f>
        <v>-94.8</v>
      </c>
      <c r="BB34" s="70">
        <f>-87.6-15.1</f>
        <v>-102.69999999999999</v>
      </c>
      <c r="BC34" s="115">
        <f>-63.7+13.3</f>
        <v>-50.400000000000006</v>
      </c>
      <c r="BD34" s="116">
        <f>-152.5+29.6-BC34</f>
        <v>-72.5</v>
      </c>
      <c r="BE34" s="116">
        <f>-93.3+3.5</f>
        <v>-89.8</v>
      </c>
      <c r="BF34" s="117">
        <f>-191.1+20.3</f>
        <v>-170.79999999999998</v>
      </c>
      <c r="BI34" s="6"/>
    </row>
    <row r="35" spans="2:61" ht="15.75" thickBot="1" x14ac:dyDescent="0.3">
      <c r="B35" s="11" t="s">
        <v>78</v>
      </c>
      <c r="C35" s="30">
        <f>SUM(C30:C34)</f>
        <v>278.39999999999992</v>
      </c>
      <c r="D35" s="30">
        <f t="shared" ref="D35:AZ35" si="30">SUM(D30:D34)</f>
        <v>294.19999999999982</v>
      </c>
      <c r="E35" s="30">
        <f t="shared" si="30"/>
        <v>281.89999999999992</v>
      </c>
      <c r="F35" s="30">
        <f t="shared" si="30"/>
        <v>219.2</v>
      </c>
      <c r="G35" s="30">
        <f t="shared" si="30"/>
        <v>145.30000000000001</v>
      </c>
      <c r="H35" s="30">
        <f t="shared" si="30"/>
        <v>79.000000000000071</v>
      </c>
      <c r="I35" s="30">
        <f t="shared" si="30"/>
        <v>299</v>
      </c>
      <c r="J35" s="30">
        <f t="shared" si="30"/>
        <v>7.1999999999999531</v>
      </c>
      <c r="K35" s="30">
        <f t="shared" si="30"/>
        <v>99.100000000000009</v>
      </c>
      <c r="L35" s="30">
        <f t="shared" si="30"/>
        <v>31.400000000000066</v>
      </c>
      <c r="M35" s="30">
        <f t="shared" si="30"/>
        <v>49.90000000000007</v>
      </c>
      <c r="N35" s="30">
        <f t="shared" si="30"/>
        <v>89.999999999999972</v>
      </c>
      <c r="O35" s="30">
        <f t="shared" si="30"/>
        <v>51.3</v>
      </c>
      <c r="P35" s="30">
        <f t="shared" si="30"/>
        <v>98.500000000000028</v>
      </c>
      <c r="Q35" s="30">
        <f t="shared" si="30"/>
        <v>81.400000000000048</v>
      </c>
      <c r="R35" s="30">
        <f t="shared" si="30"/>
        <v>118.29999999999994</v>
      </c>
      <c r="S35" s="30">
        <f t="shared" si="30"/>
        <v>145.69999999999999</v>
      </c>
      <c r="T35" s="30">
        <f t="shared" si="30"/>
        <v>234.20000000000007</v>
      </c>
      <c r="U35" s="30">
        <f t="shared" si="30"/>
        <v>240.19999999999987</v>
      </c>
      <c r="V35" s="30">
        <f t="shared" si="30"/>
        <v>213.50000000000003</v>
      </c>
      <c r="W35" s="30">
        <f t="shared" si="30"/>
        <v>252.70000000000007</v>
      </c>
      <c r="X35" s="30">
        <f t="shared" si="30"/>
        <v>297.90000000000003</v>
      </c>
      <c r="Y35" s="30">
        <f t="shared" si="30"/>
        <v>244.1</v>
      </c>
      <c r="Z35" s="30">
        <f t="shared" si="30"/>
        <v>237.10000000000005</v>
      </c>
      <c r="AA35" s="31">
        <f t="shared" si="30"/>
        <v>346.40000000000003</v>
      </c>
      <c r="AB35" s="31">
        <f t="shared" si="30"/>
        <v>405.70000000000005</v>
      </c>
      <c r="AC35" s="31">
        <f t="shared" si="30"/>
        <v>226.30000000000007</v>
      </c>
      <c r="AD35" s="31">
        <f t="shared" si="30"/>
        <v>308.30000000000013</v>
      </c>
      <c r="AE35" s="31">
        <f t="shared" si="30"/>
        <v>535.4</v>
      </c>
      <c r="AF35" s="31">
        <f t="shared" si="30"/>
        <v>351.2999999999999</v>
      </c>
      <c r="AG35" s="31">
        <f t="shared" si="30"/>
        <v>203.49999999999986</v>
      </c>
      <c r="AH35" s="31">
        <f t="shared" si="30"/>
        <v>273.19999999999993</v>
      </c>
      <c r="AI35" s="31">
        <f t="shared" si="30"/>
        <v>104.7999999999999</v>
      </c>
      <c r="AJ35" s="31">
        <f t="shared" si="30"/>
        <v>269.00000000000011</v>
      </c>
      <c r="AK35" s="31">
        <f t="shared" si="30"/>
        <v>288.49999999999994</v>
      </c>
      <c r="AL35" s="31">
        <f t="shared" si="30"/>
        <v>-6.8999999999999275</v>
      </c>
      <c r="AM35" s="31">
        <f t="shared" si="30"/>
        <v>148.69999999999999</v>
      </c>
      <c r="AN35" s="31">
        <f t="shared" si="30"/>
        <v>107.6999999999999</v>
      </c>
      <c r="AO35" s="31">
        <f t="shared" si="30"/>
        <v>239.3</v>
      </c>
      <c r="AP35" s="31">
        <f t="shared" si="30"/>
        <v>420.99999999999989</v>
      </c>
      <c r="AQ35" s="31">
        <f t="shared" si="30"/>
        <v>692.30000000000007</v>
      </c>
      <c r="AR35" s="31">
        <f t="shared" si="30"/>
        <v>266.30000000000013</v>
      </c>
      <c r="AS35" s="31">
        <f t="shared" si="30"/>
        <v>-81.200000000000031</v>
      </c>
      <c r="AT35" s="31">
        <f t="shared" si="30"/>
        <v>-165.99999999999989</v>
      </c>
      <c r="AU35" s="31">
        <f t="shared" si="30"/>
        <v>172.79999999999993</v>
      </c>
      <c r="AV35" s="31">
        <f t="shared" si="30"/>
        <v>135.09999999999994</v>
      </c>
      <c r="AW35" s="31">
        <f t="shared" si="30"/>
        <v>284.50000000000028</v>
      </c>
      <c r="AX35" s="31">
        <f t="shared" si="30"/>
        <v>353.29999999999978</v>
      </c>
      <c r="AY35" s="73">
        <f t="shared" si="30"/>
        <v>188.80000000000004</v>
      </c>
      <c r="AZ35" s="31">
        <f t="shared" si="30"/>
        <v>193.90000000000009</v>
      </c>
      <c r="BA35" s="31">
        <f t="shared" ref="BA35:BB35" si="31">SUM(BA30:BA34)</f>
        <v>296.49999999999994</v>
      </c>
      <c r="BB35" s="74">
        <f t="shared" si="31"/>
        <v>258.7</v>
      </c>
      <c r="BC35" s="120">
        <f t="shared" ref="BC35:BD35" si="32">SUM(BC30:BC34)</f>
        <v>166.89999999999984</v>
      </c>
      <c r="BD35" s="30">
        <f t="shared" si="32"/>
        <v>228.10000000000014</v>
      </c>
      <c r="BE35" s="30">
        <f t="shared" ref="BE35:BF35" si="33">SUM(BE30:BE34)</f>
        <v>277.89999999999975</v>
      </c>
      <c r="BF35" s="121">
        <f t="shared" si="33"/>
        <v>409.9000000000002</v>
      </c>
      <c r="BI35" s="6"/>
    </row>
    <row r="36" spans="2:61" ht="16.5" thickTop="1" x14ac:dyDescent="0.25">
      <c r="B36" s="32" t="str">
        <f>+B2</f>
        <v>Driefontein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63"/>
      <c r="AZ36" s="57"/>
      <c r="BA36" s="57"/>
      <c r="BB36" s="58"/>
      <c r="BC36" s="108"/>
      <c r="BD36" s="106"/>
      <c r="BE36" s="106"/>
      <c r="BF36" s="107"/>
      <c r="BI36" s="6"/>
    </row>
    <row r="37" spans="2:61" x14ac:dyDescent="0.25">
      <c r="B37" s="24" t="s">
        <v>79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63"/>
      <c r="AZ37" s="57"/>
      <c r="BA37" s="57"/>
      <c r="BB37" s="58"/>
      <c r="BC37" s="108"/>
      <c r="BD37" s="106"/>
      <c r="BE37" s="106"/>
      <c r="BF37" s="107"/>
      <c r="BI37" s="6"/>
    </row>
    <row r="38" spans="2:61" x14ac:dyDescent="0.25">
      <c r="B38" t="s">
        <v>80</v>
      </c>
      <c r="C38" s="14">
        <f>+C28*(1000000)/(C16)</f>
        <v>106742.90220820189</v>
      </c>
      <c r="D38" s="14">
        <f>+D28*(1000000)/(10252)</f>
        <v>105472.10300429184</v>
      </c>
      <c r="E38" s="14">
        <f>+E28*(1000000)/(10972)</f>
        <v>104547.94021144732</v>
      </c>
      <c r="F38" s="14">
        <f t="shared" ref="F38:AU38" si="34">+F28*(1000000)/(F16)</f>
        <v>100899.56504547253</v>
      </c>
      <c r="G38" s="14">
        <f t="shared" si="34"/>
        <v>94275.839723512254</v>
      </c>
      <c r="H38" s="14">
        <f t="shared" si="34"/>
        <v>86615.678776290632</v>
      </c>
      <c r="I38" s="14">
        <f t="shared" si="34"/>
        <v>85569.648420115715</v>
      </c>
      <c r="J38" s="14">
        <f t="shared" si="34"/>
        <v>84579.053016885111</v>
      </c>
      <c r="K38" s="14">
        <f t="shared" si="34"/>
        <v>88321.492007104796</v>
      </c>
      <c r="L38" s="14">
        <f t="shared" si="34"/>
        <v>83907.409458411785</v>
      </c>
      <c r="M38" s="14">
        <f t="shared" si="34"/>
        <v>81730.551145384437</v>
      </c>
      <c r="N38" s="14">
        <f t="shared" si="34"/>
        <v>84925.690021231421</v>
      </c>
      <c r="O38" s="14">
        <f t="shared" si="34"/>
        <v>81816.190163216132</v>
      </c>
      <c r="P38" s="14">
        <f t="shared" si="34"/>
        <v>87794.08590546083</v>
      </c>
      <c r="Q38" s="14">
        <f t="shared" si="34"/>
        <v>91425.402107598449</v>
      </c>
      <c r="R38" s="14">
        <f t="shared" si="34"/>
        <v>101064.06561737973</v>
      </c>
      <c r="S38" s="14">
        <f t="shared" si="34"/>
        <v>108486.83467058424</v>
      </c>
      <c r="T38" s="14">
        <f t="shared" si="34"/>
        <v>128932.23587777652</v>
      </c>
      <c r="U38" s="14">
        <f t="shared" si="34"/>
        <v>141977.7750031215</v>
      </c>
      <c r="V38" s="14">
        <f t="shared" si="34"/>
        <v>144370.77483099324</v>
      </c>
      <c r="W38" s="14">
        <f t="shared" si="34"/>
        <v>151932.42897363706</v>
      </c>
      <c r="X38" s="14">
        <f t="shared" si="34"/>
        <v>152030.11230408491</v>
      </c>
      <c r="Y38" s="14">
        <f t="shared" si="34"/>
        <v>154334.40355643368</v>
      </c>
      <c r="Z38" s="14">
        <f t="shared" si="34"/>
        <v>170030.86833982015</v>
      </c>
      <c r="AA38" s="13">
        <f t="shared" si="34"/>
        <v>223399.69372128637</v>
      </c>
      <c r="AB38" s="13">
        <f t="shared" si="34"/>
        <v>224933.68700265253</v>
      </c>
      <c r="AC38" s="13">
        <f t="shared" si="34"/>
        <v>216225.88674548847</v>
      </c>
      <c r="AD38" s="13">
        <f t="shared" si="34"/>
        <v>253818.24179449119</v>
      </c>
      <c r="AE38" s="13">
        <f t="shared" si="34"/>
        <v>290975.64619751979</v>
      </c>
      <c r="AF38" s="13">
        <f t="shared" si="34"/>
        <v>251825.03770739064</v>
      </c>
      <c r="AG38" s="13">
        <f t="shared" si="34"/>
        <v>240471.74613948751</v>
      </c>
      <c r="AH38" s="13">
        <f t="shared" si="34"/>
        <v>262746.78111587983</v>
      </c>
      <c r="AI38" s="13">
        <f t="shared" si="34"/>
        <v>267016.39344262297</v>
      </c>
      <c r="AJ38" s="13">
        <f t="shared" si="34"/>
        <v>289538.30191941897</v>
      </c>
      <c r="AK38" s="13">
        <f t="shared" si="34"/>
        <v>288150.24098387902</v>
      </c>
      <c r="AL38" s="13">
        <f t="shared" si="34"/>
        <v>301777.00348432054</v>
      </c>
      <c r="AM38" s="13">
        <f t="shared" si="34"/>
        <v>311565.99552572705</v>
      </c>
      <c r="AN38" s="13">
        <f t="shared" si="34"/>
        <v>327436.56627934548</v>
      </c>
      <c r="AO38" s="13">
        <f t="shared" si="34"/>
        <v>389825.04604051565</v>
      </c>
      <c r="AP38" s="13">
        <f t="shared" si="34"/>
        <v>437890.95519864751</v>
      </c>
      <c r="AQ38" s="13">
        <f t="shared" si="34"/>
        <v>419140.71928554185</v>
      </c>
      <c r="AR38" s="13">
        <f t="shared" si="34"/>
        <v>420956.56192236597</v>
      </c>
      <c r="AS38" s="13">
        <f t="shared" si="34"/>
        <v>435449.38189107919</v>
      </c>
      <c r="AT38" s="13">
        <f t="shared" si="34"/>
        <v>479196.11307420494</v>
      </c>
      <c r="AU38" s="13">
        <f t="shared" si="34"/>
        <v>469527.67902488576</v>
      </c>
      <c r="AV38" s="13">
        <f t="shared" ref="AV38:BA38" si="35">+AV28*(1000000)/(AV16)</f>
        <v>436626.61326212727</v>
      </c>
      <c r="AW38" s="13">
        <f t="shared" si="35"/>
        <v>424839.56209890527</v>
      </c>
      <c r="AX38" s="13">
        <f t="shared" si="35"/>
        <v>416392.46778989094</v>
      </c>
      <c r="AY38" s="63">
        <f t="shared" si="35"/>
        <v>455427.30844793713</v>
      </c>
      <c r="AZ38" s="64">
        <f t="shared" si="35"/>
        <v>434756.38051044091</v>
      </c>
      <c r="BA38" s="64">
        <f t="shared" si="35"/>
        <v>442761.64612492168</v>
      </c>
      <c r="BB38" s="65">
        <f t="shared" ref="BB38:BC38" si="36">+BB28*(1000000)/(BB16)</f>
        <v>433990.36355672363</v>
      </c>
      <c r="BC38" s="112">
        <f t="shared" si="36"/>
        <v>459872.77353689569</v>
      </c>
      <c r="BD38" s="113">
        <f>+BD28*(1000000)/(BD16)-23</f>
        <v>462121.67298359139</v>
      </c>
      <c r="BE38" s="113">
        <f>+BE28*(1000000)/(BE16)</f>
        <v>470702.02129971742</v>
      </c>
      <c r="BF38" s="114">
        <f>+BF28*(1000000)/(BF16)</f>
        <v>503851.29118432768</v>
      </c>
      <c r="BI38" s="6"/>
    </row>
    <row r="39" spans="2:61" x14ac:dyDescent="0.25">
      <c r="B39" t="s">
        <v>81</v>
      </c>
      <c r="C39" s="14">
        <f>+C38/(32.15074)/(C48)</f>
        <v>287.9510893939995</v>
      </c>
      <c r="D39" s="14">
        <f t="shared" ref="D39:AZ39" si="37">+D38/(32.15074)/(D48)</f>
        <v>312.13603987450392</v>
      </c>
      <c r="E39" s="14">
        <f t="shared" si="37"/>
        <v>313.27602092693922</v>
      </c>
      <c r="F39" s="14">
        <f t="shared" si="37"/>
        <v>321.22087223181535</v>
      </c>
      <c r="G39" s="14">
        <f t="shared" si="37"/>
        <v>349.91730223533642</v>
      </c>
      <c r="H39" s="14">
        <f t="shared" si="37"/>
        <v>348.06838575558038</v>
      </c>
      <c r="I39" s="14">
        <f t="shared" si="37"/>
        <v>357.7303922292524</v>
      </c>
      <c r="J39" s="14">
        <f t="shared" si="37"/>
        <v>389.15727082073471</v>
      </c>
      <c r="K39" s="14">
        <f t="shared" si="37"/>
        <v>404.58115446801543</v>
      </c>
      <c r="L39" s="14">
        <f t="shared" si="37"/>
        <v>395.42616615776558</v>
      </c>
      <c r="M39" s="14">
        <f t="shared" si="37"/>
        <v>399.7020158446407</v>
      </c>
      <c r="N39" s="14">
        <f t="shared" si="37"/>
        <v>431.61515832902546</v>
      </c>
      <c r="O39" s="14">
        <f t="shared" si="37"/>
        <v>427.6921836168782</v>
      </c>
      <c r="P39" s="14">
        <f t="shared" si="37"/>
        <v>427.33988607819629</v>
      </c>
      <c r="Q39" s="14">
        <f t="shared" si="37"/>
        <v>436.14240097578568</v>
      </c>
      <c r="R39" s="14">
        <f t="shared" si="37"/>
        <v>481.38506316570965</v>
      </c>
      <c r="S39" s="14">
        <f t="shared" si="37"/>
        <v>549.56326297710029</v>
      </c>
      <c r="T39" s="14">
        <f t="shared" si="37"/>
        <v>627.58084925158994</v>
      </c>
      <c r="U39" s="14">
        <f t="shared" si="37"/>
        <v>621.97230044314711</v>
      </c>
      <c r="V39" s="14">
        <f t="shared" si="37"/>
        <v>608.45988658288195</v>
      </c>
      <c r="W39" s="14">
        <f t="shared" si="37"/>
        <v>655.42687173769616</v>
      </c>
      <c r="X39" s="14">
        <f t="shared" si="37"/>
        <v>666.94866531055936</v>
      </c>
      <c r="Y39" s="14">
        <f t="shared" si="37"/>
        <v>676.10387622573762</v>
      </c>
      <c r="Z39" s="14">
        <f t="shared" si="37"/>
        <v>782.33021437582613</v>
      </c>
      <c r="AA39" s="13">
        <f t="shared" si="37"/>
        <v>932.68571951909428</v>
      </c>
      <c r="AB39" s="13">
        <f t="shared" si="37"/>
        <v>900.41456172504422</v>
      </c>
      <c r="AC39" s="13">
        <f t="shared" si="37"/>
        <v>868.91191550267536</v>
      </c>
      <c r="AD39" s="13">
        <f t="shared" si="37"/>
        <v>803.93395193498293</v>
      </c>
      <c r="AE39" s="13">
        <f t="shared" si="37"/>
        <v>911.4155196296266</v>
      </c>
      <c r="AF39" s="13">
        <f t="shared" si="37"/>
        <v>915.02754886151774</v>
      </c>
      <c r="AG39" s="13">
        <f t="shared" si="37"/>
        <v>956.45893928674195</v>
      </c>
      <c r="AH39" s="13">
        <f t="shared" si="37"/>
        <v>1091.1001442430045</v>
      </c>
      <c r="AI39" s="13">
        <f t="shared" si="37"/>
        <v>1107.3519860615877</v>
      </c>
      <c r="AJ39" s="13">
        <f t="shared" si="37"/>
        <v>1199.1544202903901</v>
      </c>
      <c r="AK39" s="13">
        <f t="shared" si="37"/>
        <v>1217.7277400074204</v>
      </c>
      <c r="AL39" s="13">
        <f t="shared" si="37"/>
        <v>1356.4040381993805</v>
      </c>
      <c r="AM39" s="13">
        <f t="shared" si="37"/>
        <v>1388.364999054548</v>
      </c>
      <c r="AN39" s="13">
        <f t="shared" si="37"/>
        <v>1502.1265078895026</v>
      </c>
      <c r="AO39" s="13">
        <f t="shared" si="37"/>
        <v>1719.8463479131226</v>
      </c>
      <c r="AP39" s="13">
        <f t="shared" si="37"/>
        <v>1685.6353896783548</v>
      </c>
      <c r="AQ39" s="13">
        <f t="shared" si="37"/>
        <v>1677.8296398625275</v>
      </c>
      <c r="AR39" s="13">
        <f t="shared" si="37"/>
        <v>1624.4684035481162</v>
      </c>
      <c r="AS39" s="13">
        <f t="shared" si="37"/>
        <v>1639.708536847249</v>
      </c>
      <c r="AT39" s="13">
        <f t="shared" si="37"/>
        <v>1719.1082157767321</v>
      </c>
      <c r="AU39" s="13">
        <f t="shared" si="37"/>
        <v>1642.7386113834962</v>
      </c>
      <c r="AV39" s="13">
        <f t="shared" si="37"/>
        <v>1443.2102561611916</v>
      </c>
      <c r="AW39" s="13">
        <f t="shared" si="37"/>
        <v>1324.0471105389147</v>
      </c>
      <c r="AX39" s="13">
        <f t="shared" si="37"/>
        <v>1281.0342341871492</v>
      </c>
      <c r="AY39" s="63">
        <f t="shared" si="37"/>
        <v>1309.1844377527386</v>
      </c>
      <c r="AZ39" s="64">
        <f t="shared" si="37"/>
        <v>1284.1821232278667</v>
      </c>
      <c r="BA39" s="64">
        <f t="shared" ref="BA39:BB39" si="38">+BA38/(32.15074)/(BA48)</f>
        <v>1284.6482650912362</v>
      </c>
      <c r="BB39" s="65">
        <f t="shared" si="38"/>
        <v>1205.2332109083306</v>
      </c>
      <c r="BC39" s="112">
        <f t="shared" ref="BC39:BD39" si="39">+BC38/(32.15074)/(BC48)</f>
        <v>1222.5337662387783</v>
      </c>
      <c r="BD39" s="113">
        <f t="shared" si="39"/>
        <v>1190.8528310729528</v>
      </c>
      <c r="BE39" s="113">
        <f t="shared" ref="BE39:BF39" si="40">+BE38/(32.15074)/(BE48)</f>
        <v>1126.1901838740246</v>
      </c>
      <c r="BF39" s="114">
        <f t="shared" si="40"/>
        <v>1102.852227150438</v>
      </c>
      <c r="BI39" s="6"/>
    </row>
    <row r="40" spans="2:61" x14ac:dyDescent="0.25">
      <c r="B40" t="s">
        <v>82</v>
      </c>
      <c r="C40" s="14">
        <v>52326</v>
      </c>
      <c r="D40" s="14">
        <v>49639</v>
      </c>
      <c r="E40" s="14">
        <v>55113</v>
      </c>
      <c r="F40" s="14">
        <v>56396</v>
      </c>
      <c r="G40" s="14">
        <v>61184</v>
      </c>
      <c r="H40" s="14">
        <v>63784</v>
      </c>
      <c r="I40" s="14">
        <v>67835</v>
      </c>
      <c r="J40" s="14">
        <v>73126</v>
      </c>
      <c r="K40" s="14">
        <v>67607</v>
      </c>
      <c r="L40" s="14">
        <v>67372</v>
      </c>
      <c r="M40" s="14">
        <v>67419</v>
      </c>
      <c r="N40" s="14">
        <v>67114</v>
      </c>
      <c r="O40" s="14">
        <v>64520</v>
      </c>
      <c r="P40" s="14">
        <v>64548</v>
      </c>
      <c r="Q40" s="14">
        <v>69872</v>
      </c>
      <c r="R40" s="14">
        <v>71935</v>
      </c>
      <c r="S40" s="14">
        <v>74280</v>
      </c>
      <c r="T40" s="14">
        <v>76423</v>
      </c>
      <c r="U40" s="14">
        <v>77163</v>
      </c>
      <c r="V40" s="14">
        <v>81721</v>
      </c>
      <c r="W40" s="14">
        <v>82506</v>
      </c>
      <c r="X40" s="14">
        <v>80538</v>
      </c>
      <c r="Y40" s="14">
        <v>85058</v>
      </c>
      <c r="Z40" s="14">
        <v>94390</v>
      </c>
      <c r="AA40" s="13">
        <v>104870</v>
      </c>
      <c r="AB40" s="13">
        <v>103537</v>
      </c>
      <c r="AC40" s="13">
        <v>130149</v>
      </c>
      <c r="AD40" s="13">
        <v>137886</v>
      </c>
      <c r="AE40" s="13">
        <v>122680</v>
      </c>
      <c r="AF40" s="13">
        <v>129397</v>
      </c>
      <c r="AG40" s="13">
        <v>154387</v>
      </c>
      <c r="AH40" s="13">
        <v>154678</v>
      </c>
      <c r="AI40" s="13">
        <v>195650</v>
      </c>
      <c r="AJ40" s="13">
        <v>175584</v>
      </c>
      <c r="AK40" s="13">
        <v>171780</v>
      </c>
      <c r="AL40" s="13">
        <v>175261</v>
      </c>
      <c r="AM40" s="13">
        <v>205503</v>
      </c>
      <c r="AN40" s="13">
        <v>235215</v>
      </c>
      <c r="AO40" s="13">
        <v>234392</v>
      </c>
      <c r="AP40" s="13">
        <v>215786</v>
      </c>
      <c r="AQ40" s="13">
        <v>253126</v>
      </c>
      <c r="AR40" s="13">
        <v>255037</v>
      </c>
      <c r="AS40" s="13">
        <v>373137</v>
      </c>
      <c r="AT40" s="13">
        <v>443021</v>
      </c>
      <c r="AU40" s="13">
        <v>296039</v>
      </c>
      <c r="AV40" s="13">
        <v>282621</v>
      </c>
      <c r="AW40" s="13">
        <v>244772</v>
      </c>
      <c r="AX40" s="13">
        <v>250030</v>
      </c>
      <c r="AY40" s="63">
        <v>285167</v>
      </c>
      <c r="AZ40" s="64">
        <v>290023</v>
      </c>
      <c r="BA40" s="64">
        <v>279110</v>
      </c>
      <c r="BB40" s="65">
        <v>279019</v>
      </c>
      <c r="BC40" s="112">
        <v>324784</v>
      </c>
      <c r="BD40" s="113">
        <v>315969</v>
      </c>
      <c r="BE40" s="113">
        <v>313497</v>
      </c>
      <c r="BF40" s="114">
        <v>286821</v>
      </c>
      <c r="BI40" s="6"/>
    </row>
    <row r="41" spans="2:61" x14ac:dyDescent="0.25">
      <c r="B41" t="s">
        <v>83</v>
      </c>
      <c r="C41" s="14">
        <f>+C40/(32.15074)/(C48)</f>
        <v>141.15532173035368</v>
      </c>
      <c r="D41" s="14">
        <f t="shared" ref="D41:AZ41" si="41">+D40/(32.15074)/(D48)</f>
        <v>146.90254998234008</v>
      </c>
      <c r="E41" s="14">
        <f t="shared" si="41"/>
        <v>165.14511243767126</v>
      </c>
      <c r="F41" s="14">
        <f t="shared" si="41"/>
        <v>179.54063827947417</v>
      </c>
      <c r="G41" s="14">
        <f t="shared" si="41"/>
        <v>227.09254335739814</v>
      </c>
      <c r="H41" s="14">
        <f t="shared" si="41"/>
        <v>256.31841983683773</v>
      </c>
      <c r="I41" s="14">
        <f t="shared" si="41"/>
        <v>283.58935212320836</v>
      </c>
      <c r="J41" s="14">
        <f t="shared" si="41"/>
        <v>336.46054869349121</v>
      </c>
      <c r="K41" s="14">
        <f t="shared" si="41"/>
        <v>309.69266356957394</v>
      </c>
      <c r="L41" s="14">
        <f t="shared" si="41"/>
        <v>317.50058592364559</v>
      </c>
      <c r="M41" s="14">
        <f t="shared" si="41"/>
        <v>329.71159289376254</v>
      </c>
      <c r="N41" s="14">
        <f t="shared" si="41"/>
        <v>341.09136739250931</v>
      </c>
      <c r="O41" s="14">
        <f t="shared" si="41"/>
        <v>337.27676187209363</v>
      </c>
      <c r="P41" s="14">
        <f t="shared" si="41"/>
        <v>314.18898758486512</v>
      </c>
      <c r="Q41" s="14">
        <f t="shared" si="41"/>
        <v>333.32248082557089</v>
      </c>
      <c r="R41" s="14">
        <f t="shared" si="41"/>
        <v>342.63844727883532</v>
      </c>
      <c r="S41" s="14">
        <f t="shared" si="41"/>
        <v>376.28122617727746</v>
      </c>
      <c r="T41" s="14">
        <f t="shared" si="41"/>
        <v>371.99084399513771</v>
      </c>
      <c r="U41" s="14">
        <f t="shared" si="41"/>
        <v>338.03353107934953</v>
      </c>
      <c r="V41" s="14">
        <f t="shared" si="41"/>
        <v>344.41839388649629</v>
      </c>
      <c r="W41" s="14">
        <f t="shared" si="41"/>
        <v>355.92565619400199</v>
      </c>
      <c r="X41" s="14">
        <f t="shared" si="41"/>
        <v>353.31626605223897</v>
      </c>
      <c r="Y41" s="14">
        <f t="shared" si="41"/>
        <v>372.61972819288144</v>
      </c>
      <c r="Z41" s="14">
        <f t="shared" si="41"/>
        <v>434.29848742141832</v>
      </c>
      <c r="AA41" s="13">
        <f t="shared" si="41"/>
        <v>437.82849374894926</v>
      </c>
      <c r="AB41" s="13">
        <f t="shared" si="41"/>
        <v>414.46091832490407</v>
      </c>
      <c r="AC41" s="13">
        <f t="shared" si="41"/>
        <v>523.00868592977224</v>
      </c>
      <c r="AD41" s="13">
        <f t="shared" si="41"/>
        <v>436.734712654183</v>
      </c>
      <c r="AE41" s="13">
        <f t="shared" si="41"/>
        <v>384.26740316356978</v>
      </c>
      <c r="AF41" s="13">
        <f t="shared" si="41"/>
        <v>470.17493104721143</v>
      </c>
      <c r="AG41" s="13">
        <f t="shared" si="41"/>
        <v>614.06310150884872</v>
      </c>
      <c r="AH41" s="13">
        <f t="shared" si="41"/>
        <v>642.32637748961349</v>
      </c>
      <c r="AI41" s="13">
        <f t="shared" si="41"/>
        <v>811.38619722801616</v>
      </c>
      <c r="AJ41" s="13">
        <f t="shared" si="41"/>
        <v>727.20026447784574</v>
      </c>
      <c r="AK41" s="13">
        <f t="shared" si="41"/>
        <v>725.94515438971166</v>
      </c>
      <c r="AL41" s="13">
        <f t="shared" si="41"/>
        <v>787.74964756787062</v>
      </c>
      <c r="AM41" s="13">
        <f t="shared" si="41"/>
        <v>915.73912589298425</v>
      </c>
      <c r="AN41" s="13">
        <f t="shared" si="41"/>
        <v>1079.056901213042</v>
      </c>
      <c r="AO41" s="13">
        <f t="shared" si="41"/>
        <v>1034.1003721401612</v>
      </c>
      <c r="AP41" s="13">
        <f t="shared" si="41"/>
        <v>830.65547227876812</v>
      </c>
      <c r="AQ41" s="13">
        <f t="shared" si="41"/>
        <v>1013.2690189198998</v>
      </c>
      <c r="AR41" s="13">
        <f t="shared" si="41"/>
        <v>984.185984282405</v>
      </c>
      <c r="AS41" s="13">
        <f t="shared" si="41"/>
        <v>1405.06784429565</v>
      </c>
      <c r="AT41" s="13">
        <f t="shared" si="41"/>
        <v>1589.3305894651266</v>
      </c>
      <c r="AU41" s="13">
        <f t="shared" si="41"/>
        <v>1035.7529864593635</v>
      </c>
      <c r="AV41" s="13">
        <f t="shared" si="41"/>
        <v>934.16551675392691</v>
      </c>
      <c r="AW41" s="13">
        <f t="shared" si="41"/>
        <v>762.8518816366286</v>
      </c>
      <c r="AX41" s="13">
        <f t="shared" si="41"/>
        <v>769.21898053024529</v>
      </c>
      <c r="AY41" s="63">
        <f t="shared" si="41"/>
        <v>819.74925885085281</v>
      </c>
      <c r="AZ41" s="64">
        <f t="shared" si="41"/>
        <v>856.66908784095733</v>
      </c>
      <c r="BA41" s="64">
        <f t="shared" ref="BA41:BB41" si="42">+BA40/(32.15074)/(BA48)</f>
        <v>809.82212530768891</v>
      </c>
      <c r="BB41" s="65">
        <f t="shared" si="42"/>
        <v>774.8627469938707</v>
      </c>
      <c r="BC41" s="112">
        <f t="shared" ref="BC41:BD41" si="43">+BC40/(32.15074)/(BC48)</f>
        <v>863.41142503457911</v>
      </c>
      <c r="BD41" s="113">
        <f t="shared" si="43"/>
        <v>814.22837356223749</v>
      </c>
      <c r="BE41" s="113">
        <f t="shared" ref="BE41:BF41" si="44">+BE40/(32.15074)/(BE48)</f>
        <v>750.06528142599041</v>
      </c>
      <c r="BF41" s="114">
        <f t="shared" si="44"/>
        <v>627.80662504602697</v>
      </c>
      <c r="BI41" s="6"/>
    </row>
    <row r="42" spans="2:61" x14ac:dyDescent="0.25">
      <c r="B42" t="s">
        <v>84</v>
      </c>
      <c r="C42" s="14">
        <f t="shared" ref="C42:AU42" si="45">+((-C29+C25)*1000000)/(C16)</f>
        <v>64205.441640378558</v>
      </c>
      <c r="D42" s="14">
        <f t="shared" si="45"/>
        <v>63058.137415709869</v>
      </c>
      <c r="E42" s="14">
        <f t="shared" si="45"/>
        <v>75473.170731707316</v>
      </c>
      <c r="F42" s="14">
        <f t="shared" si="45"/>
        <v>73151.443258204818</v>
      </c>
      <c r="G42" s="14">
        <f t="shared" si="45"/>
        <v>78917.809698671554</v>
      </c>
      <c r="H42" s="14">
        <f t="shared" si="45"/>
        <v>88718.9292543021</v>
      </c>
      <c r="I42" s="14">
        <f t="shared" si="45"/>
        <v>80551.846906987092</v>
      </c>
      <c r="J42" s="14">
        <f t="shared" si="45"/>
        <v>86161.294131538554</v>
      </c>
      <c r="K42" s="14">
        <f t="shared" si="45"/>
        <v>74000.888099467134</v>
      </c>
      <c r="L42" s="14">
        <f t="shared" si="45"/>
        <v>74925.240890464062</v>
      </c>
      <c r="M42" s="14">
        <f t="shared" si="45"/>
        <v>74007.711499206169</v>
      </c>
      <c r="N42" s="14">
        <f t="shared" si="45"/>
        <v>74511.118560733055</v>
      </c>
      <c r="O42" s="14">
        <f t="shared" si="45"/>
        <v>71289.297842041851</v>
      </c>
      <c r="P42" s="14">
        <f t="shared" si="45"/>
        <v>75566.587524282309</v>
      </c>
      <c r="Q42" s="14">
        <f t="shared" si="45"/>
        <v>77947.864669994451</v>
      </c>
      <c r="R42" s="14">
        <f t="shared" si="45"/>
        <v>81489.691864331631</v>
      </c>
      <c r="S42" s="14">
        <f t="shared" si="45"/>
        <v>83037.631370776362</v>
      </c>
      <c r="T42" s="14">
        <f t="shared" si="45"/>
        <v>89119.404667944531</v>
      </c>
      <c r="U42" s="14">
        <f t="shared" si="45"/>
        <v>99101.011362217512</v>
      </c>
      <c r="V42" s="14">
        <f t="shared" si="45"/>
        <v>108931.35725429017</v>
      </c>
      <c r="W42" s="14">
        <f t="shared" si="45"/>
        <v>111748.14435628358</v>
      </c>
      <c r="X42" s="14">
        <f t="shared" si="45"/>
        <v>121152.6595088239</v>
      </c>
      <c r="Y42" s="14">
        <f t="shared" si="45"/>
        <v>116423.80834774018</v>
      </c>
      <c r="Z42" s="14">
        <f t="shared" si="45"/>
        <v>135753.59012213125</v>
      </c>
      <c r="AA42" s="13">
        <f t="shared" si="45"/>
        <v>145513.01684532923</v>
      </c>
      <c r="AB42" s="13">
        <f t="shared" si="45"/>
        <v>153905.09873268494</v>
      </c>
      <c r="AC42" s="13">
        <f t="shared" si="45"/>
        <v>169306.16054760423</v>
      </c>
      <c r="AD42" s="13">
        <f t="shared" si="45"/>
        <v>186458.84875474186</v>
      </c>
      <c r="AE42" s="13">
        <f t="shared" si="45"/>
        <v>168728.52233676979</v>
      </c>
      <c r="AF42" s="13">
        <f t="shared" si="45"/>
        <v>183529.41176470587</v>
      </c>
      <c r="AG42" s="13">
        <f t="shared" si="45"/>
        <v>207415.57780417445</v>
      </c>
      <c r="AH42" s="13">
        <f t="shared" si="45"/>
        <v>208103.00429184549</v>
      </c>
      <c r="AI42" s="13">
        <f t="shared" si="45"/>
        <v>258907.10382513661</v>
      </c>
      <c r="AJ42" s="13">
        <f t="shared" si="45"/>
        <v>233909.73543143691</v>
      </c>
      <c r="AK42" s="13">
        <f t="shared" si="45"/>
        <v>229665.94648495928</v>
      </c>
      <c r="AL42" s="13">
        <f t="shared" si="45"/>
        <v>222648.08362369338</v>
      </c>
      <c r="AM42" s="13">
        <f t="shared" si="45"/>
        <v>259888.14317673378</v>
      </c>
      <c r="AN42" s="13">
        <f t="shared" si="45"/>
        <v>303367.32274128532</v>
      </c>
      <c r="AO42" s="13">
        <f t="shared" si="45"/>
        <v>315584.71454880293</v>
      </c>
      <c r="AP42" s="13">
        <f t="shared" si="45"/>
        <v>288038.88419273036</v>
      </c>
      <c r="AQ42" s="13">
        <f t="shared" si="45"/>
        <v>319237.26768042479</v>
      </c>
      <c r="AR42" s="13">
        <f t="shared" si="45"/>
        <v>315619.22365988907</v>
      </c>
      <c r="AS42" s="13">
        <f t="shared" si="45"/>
        <v>496558.63681924489</v>
      </c>
      <c r="AT42" s="13">
        <f t="shared" si="45"/>
        <v>543374.55830388691</v>
      </c>
      <c r="AU42" s="13">
        <f t="shared" si="45"/>
        <v>354850.17775520566</v>
      </c>
      <c r="AV42" s="13">
        <f>+((-AV29+AV25)*1000000)/(AV16)</f>
        <v>333466.84468179801</v>
      </c>
      <c r="AW42" s="13">
        <f>+((-AW29+AW25)*1000000)/(AW16)</f>
        <v>292298.98074745189</v>
      </c>
      <c r="AX42" s="13">
        <f>+((-AX29+AX25)*1000000)/(AX16)</f>
        <v>296769.07829534193</v>
      </c>
      <c r="AY42" s="75" t="s">
        <v>85</v>
      </c>
      <c r="AZ42" s="76" t="s">
        <v>85</v>
      </c>
      <c r="BA42" s="76" t="s">
        <v>85</v>
      </c>
      <c r="BB42" s="77" t="s">
        <v>85</v>
      </c>
      <c r="BC42" s="122" t="s">
        <v>85</v>
      </c>
      <c r="BD42" s="123" t="s">
        <v>85</v>
      </c>
      <c r="BE42" s="123" t="s">
        <v>85</v>
      </c>
      <c r="BF42" s="124" t="s">
        <v>85</v>
      </c>
      <c r="BI42" s="6"/>
    </row>
    <row r="43" spans="2:61" x14ac:dyDescent="0.25">
      <c r="B43" t="s">
        <v>86</v>
      </c>
      <c r="C43" s="14">
        <f>+C42/(32.15074)/(C48)</f>
        <v>173.2014633564018</v>
      </c>
      <c r="D43" s="14">
        <f t="shared" ref="D43:AX43" si="46">+D42/(32.15074)/(D48)</f>
        <v>186.61538676251712</v>
      </c>
      <c r="E43" s="14">
        <f t="shared" si="46"/>
        <v>226.15399754169368</v>
      </c>
      <c r="F43" s="14">
        <f t="shared" si="46"/>
        <v>232.88277206970054</v>
      </c>
      <c r="G43" s="14">
        <f t="shared" si="46"/>
        <v>292.91393371905178</v>
      </c>
      <c r="H43" s="14">
        <f t="shared" si="46"/>
        <v>356.52037746266956</v>
      </c>
      <c r="I43" s="14">
        <f t="shared" si="46"/>
        <v>336.753093192015</v>
      </c>
      <c r="J43" s="14">
        <f t="shared" si="46"/>
        <v>396.43733145035617</v>
      </c>
      <c r="K43" s="14">
        <f t="shared" si="46"/>
        <v>338.9816460135483</v>
      </c>
      <c r="L43" s="14">
        <f t="shared" si="46"/>
        <v>353.09635877208081</v>
      </c>
      <c r="M43" s="14">
        <f t="shared" si="46"/>
        <v>361.9335861526468</v>
      </c>
      <c r="N43" s="14">
        <f t="shared" si="46"/>
        <v>378.68550996551869</v>
      </c>
      <c r="O43" s="14">
        <f t="shared" si="46"/>
        <v>372.66310496433834</v>
      </c>
      <c r="P43" s="14">
        <f t="shared" si="46"/>
        <v>367.82223507308294</v>
      </c>
      <c r="Q43" s="14">
        <f t="shared" si="46"/>
        <v>371.84817418792107</v>
      </c>
      <c r="R43" s="14">
        <f t="shared" si="46"/>
        <v>388.14904413185974</v>
      </c>
      <c r="S43" s="14">
        <f t="shared" si="46"/>
        <v>420.64488087038893</v>
      </c>
      <c r="T43" s="14">
        <f t="shared" si="46"/>
        <v>433.790907956674</v>
      </c>
      <c r="U43" s="14">
        <f t="shared" si="46"/>
        <v>434.13896303027519</v>
      </c>
      <c r="V43" s="14">
        <f t="shared" si="46"/>
        <v>459.09818907500835</v>
      </c>
      <c r="W43" s="14">
        <f t="shared" si="46"/>
        <v>482.07441408470038</v>
      </c>
      <c r="X43" s="14">
        <f t="shared" si="46"/>
        <v>531.49079043378208</v>
      </c>
      <c r="Y43" s="14">
        <f t="shared" si="46"/>
        <v>510.02619179518757</v>
      </c>
      <c r="Z43" s="14">
        <f t="shared" si="46"/>
        <v>624.61679046582049</v>
      </c>
      <c r="AA43" s="13">
        <f t="shared" si="46"/>
        <v>607.51163331988164</v>
      </c>
      <c r="AB43" s="13">
        <f t="shared" si="46"/>
        <v>616.08554000631307</v>
      </c>
      <c r="AC43" s="13">
        <f t="shared" si="46"/>
        <v>680.3632186787263</v>
      </c>
      <c r="AD43" s="13">
        <f t="shared" si="46"/>
        <v>590.58245023230756</v>
      </c>
      <c r="AE43" s="13">
        <f t="shared" si="46"/>
        <v>528.50400324402437</v>
      </c>
      <c r="AF43" s="13">
        <f t="shared" si="46"/>
        <v>666.86962233750285</v>
      </c>
      <c r="AG43" s="13">
        <f t="shared" si="46"/>
        <v>824.98042586280758</v>
      </c>
      <c r="AH43" s="13">
        <f t="shared" si="46"/>
        <v>864.18268203291086</v>
      </c>
      <c r="AI43" s="13">
        <f t="shared" si="46"/>
        <v>1073.7216989930832</v>
      </c>
      <c r="AJ43" s="13">
        <f t="shared" si="46"/>
        <v>968.76265189131061</v>
      </c>
      <c r="AK43" s="13">
        <f t="shared" si="46"/>
        <v>970.57213283899762</v>
      </c>
      <c r="AL43" s="13">
        <f t="shared" si="46"/>
        <v>1000.7414621976725</v>
      </c>
      <c r="AM43" s="13">
        <f t="shared" si="46"/>
        <v>1158.0840234089669</v>
      </c>
      <c r="AN43" s="13">
        <f t="shared" si="46"/>
        <v>1391.7080254512173</v>
      </c>
      <c r="AO43" s="13">
        <f t="shared" si="46"/>
        <v>1392.3097663600449</v>
      </c>
      <c r="AP43" s="13">
        <f t="shared" si="46"/>
        <v>1108.7886859377431</v>
      </c>
      <c r="AQ43" s="13">
        <f t="shared" si="46"/>
        <v>1277.9138967360661</v>
      </c>
      <c r="AR43" s="13">
        <f t="shared" si="46"/>
        <v>1217.972358113358</v>
      </c>
      <c r="AS43" s="13">
        <f t="shared" si="46"/>
        <v>1869.8187888148402</v>
      </c>
      <c r="AT43" s="13">
        <f t="shared" si="46"/>
        <v>1949.3473380482401</v>
      </c>
      <c r="AU43" s="13">
        <f t="shared" si="46"/>
        <v>1241.5159197118967</v>
      </c>
      <c r="AV43" s="13">
        <f t="shared" si="46"/>
        <v>1102.2295840807064</v>
      </c>
      <c r="AW43" s="13">
        <f t="shared" si="46"/>
        <v>910.97358955951802</v>
      </c>
      <c r="AX43" s="13">
        <f t="shared" si="46"/>
        <v>913.01206998857526</v>
      </c>
      <c r="AY43" s="75" t="s">
        <v>85</v>
      </c>
      <c r="AZ43" s="76" t="s">
        <v>85</v>
      </c>
      <c r="BA43" s="76" t="s">
        <v>85</v>
      </c>
      <c r="BB43" s="77" t="s">
        <v>85</v>
      </c>
      <c r="BC43" s="122" t="s">
        <v>85</v>
      </c>
      <c r="BD43" s="123" t="s">
        <v>85</v>
      </c>
      <c r="BE43" s="123" t="s">
        <v>85</v>
      </c>
      <c r="BF43" s="124" t="s">
        <v>85</v>
      </c>
      <c r="BI43" s="6"/>
    </row>
    <row r="44" spans="2:61" x14ac:dyDescent="0.25">
      <c r="B44" t="s">
        <v>87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103">
        <v>303451</v>
      </c>
      <c r="AN44" s="103"/>
      <c r="AO44" s="103"/>
      <c r="AP44" s="103"/>
      <c r="AQ44" s="103">
        <v>332251</v>
      </c>
      <c r="AR44" s="103"/>
      <c r="AS44" s="103">
        <v>521914</v>
      </c>
      <c r="AT44" s="103"/>
      <c r="AU44" s="13">
        <v>370823</v>
      </c>
      <c r="AV44" s="13">
        <v>345683</v>
      </c>
      <c r="AW44" s="13">
        <v>311099</v>
      </c>
      <c r="AX44" s="13">
        <v>313915</v>
      </c>
      <c r="AY44" s="63">
        <v>357073</v>
      </c>
      <c r="AZ44" s="64">
        <v>362158</v>
      </c>
      <c r="BA44" s="64">
        <v>353499</v>
      </c>
      <c r="BB44" s="65">
        <v>357030</v>
      </c>
      <c r="BC44" s="112">
        <v>379847</v>
      </c>
      <c r="BD44" s="113">
        <v>376011</v>
      </c>
      <c r="BE44" s="113">
        <v>379331</v>
      </c>
      <c r="BF44" s="114">
        <v>360530</v>
      </c>
      <c r="BI44" s="6"/>
    </row>
    <row r="45" spans="2:61" x14ac:dyDescent="0.25">
      <c r="B45" t="s">
        <v>88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103">
        <v>1307</v>
      </c>
      <c r="AN45" s="103"/>
      <c r="AO45" s="103"/>
      <c r="AP45" s="103"/>
      <c r="AQ45" s="103">
        <v>1305</v>
      </c>
      <c r="AR45" s="103"/>
      <c r="AS45" s="103">
        <v>1917</v>
      </c>
      <c r="AT45" s="103"/>
      <c r="AU45" s="13">
        <f t="shared" ref="AU45:AZ45" si="47">+AU44/(32.15074)/(AU48)</f>
        <v>1297.4001050463639</v>
      </c>
      <c r="AV45" s="13">
        <f t="shared" si="47"/>
        <v>1142.6084343627958</v>
      </c>
      <c r="AW45" s="13">
        <f t="shared" si="47"/>
        <v>969.5653813560109</v>
      </c>
      <c r="AX45" s="13">
        <f t="shared" si="47"/>
        <v>965.76161369896386</v>
      </c>
      <c r="AY45" s="63">
        <f t="shared" si="47"/>
        <v>1026.4523142777762</v>
      </c>
      <c r="AZ45" s="64">
        <f t="shared" si="47"/>
        <v>1069.7412395372278</v>
      </c>
      <c r="BA45" s="64">
        <f t="shared" ref="BA45:BB45" si="48">+BA44/(32.15074)/(BA48)</f>
        <v>1025.6576671353328</v>
      </c>
      <c r="BB45" s="65">
        <f t="shared" si="48"/>
        <v>991.50683845624008</v>
      </c>
      <c r="BC45" s="112">
        <f t="shared" ref="BC45:BD45" si="49">+BC44/(32.15074)/(BC48)</f>
        <v>1009.7918603290487</v>
      </c>
      <c r="BD45" s="113">
        <f t="shared" si="49"/>
        <v>968.95209647626962</v>
      </c>
      <c r="BE45" s="113">
        <f t="shared" ref="BE45:BF45" si="50">+BE44/(32.15074)/(BE48)</f>
        <v>907.57810527246636</v>
      </c>
      <c r="BF45" s="114">
        <f t="shared" si="50"/>
        <v>789.14417887059903</v>
      </c>
      <c r="BG45" s="6"/>
      <c r="BH45" s="6"/>
      <c r="BI45" s="6"/>
    </row>
    <row r="46" spans="2:61" x14ac:dyDescent="0.25">
      <c r="B46" t="s">
        <v>89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103">
        <f>+AM44</f>
        <v>303451</v>
      </c>
      <c r="AN46" s="103"/>
      <c r="AO46" s="103"/>
      <c r="AP46" s="103"/>
      <c r="AQ46" s="103">
        <f>+AQ44</f>
        <v>332251</v>
      </c>
      <c r="AR46" s="103"/>
      <c r="AS46" s="103">
        <f>+AS44</f>
        <v>521914</v>
      </c>
      <c r="AT46" s="103"/>
      <c r="AU46" s="13">
        <f t="shared" ref="AU46:AY46" si="51">+AU44</f>
        <v>370823</v>
      </c>
      <c r="AV46" s="13">
        <f t="shared" si="51"/>
        <v>345683</v>
      </c>
      <c r="AW46" s="13">
        <f t="shared" si="51"/>
        <v>311099</v>
      </c>
      <c r="AX46" s="13">
        <f t="shared" si="51"/>
        <v>313915</v>
      </c>
      <c r="AY46" s="63">
        <f t="shared" si="51"/>
        <v>357073</v>
      </c>
      <c r="AZ46" s="64">
        <v>362158</v>
      </c>
      <c r="BA46" s="64">
        <v>353499</v>
      </c>
      <c r="BB46" s="65">
        <v>357030</v>
      </c>
      <c r="BC46" s="112">
        <v>379847</v>
      </c>
      <c r="BD46" s="113">
        <v>376959</v>
      </c>
      <c r="BE46" s="113">
        <v>379744</v>
      </c>
      <c r="BF46" s="114">
        <v>363201</v>
      </c>
      <c r="BG46" s="6"/>
      <c r="BH46" s="6"/>
      <c r="BI46" s="6"/>
    </row>
    <row r="47" spans="2:61" x14ac:dyDescent="0.25">
      <c r="B47" t="s">
        <v>90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103">
        <f>+AM45</f>
        <v>1307</v>
      </c>
      <c r="AN47" s="103"/>
      <c r="AO47" s="103"/>
      <c r="AP47" s="103"/>
      <c r="AQ47" s="103">
        <f>+AQ45</f>
        <v>1305</v>
      </c>
      <c r="AR47" s="103"/>
      <c r="AS47" s="103">
        <f>+AS45</f>
        <v>1917</v>
      </c>
      <c r="AT47" s="103"/>
      <c r="AU47" s="13">
        <f t="shared" ref="AU47:AZ47" si="52">+AU46/(32.15074)/(AU48)</f>
        <v>1297.4001050463639</v>
      </c>
      <c r="AV47" s="13">
        <f t="shared" si="52"/>
        <v>1142.6084343627958</v>
      </c>
      <c r="AW47" s="13">
        <f t="shared" si="52"/>
        <v>969.5653813560109</v>
      </c>
      <c r="AX47" s="13">
        <f t="shared" si="52"/>
        <v>965.76161369896386</v>
      </c>
      <c r="AY47" s="63">
        <f t="shared" si="52"/>
        <v>1026.4523142777762</v>
      </c>
      <c r="AZ47" s="64">
        <f t="shared" si="52"/>
        <v>1069.7412395372278</v>
      </c>
      <c r="BA47" s="64">
        <f t="shared" ref="BA47:BB47" si="53">+BA46/(32.15074)/(BA48)</f>
        <v>1025.6576671353328</v>
      </c>
      <c r="BB47" s="65">
        <f t="shared" si="53"/>
        <v>991.50683845624008</v>
      </c>
      <c r="BC47" s="112">
        <f t="shared" ref="BC47:BD47" si="54">+BC46/(32.15074)/(BC48)</f>
        <v>1009.7918603290487</v>
      </c>
      <c r="BD47" s="113">
        <f t="shared" si="54"/>
        <v>971.39502125096919</v>
      </c>
      <c r="BE47" s="113">
        <f t="shared" ref="BE47:BF47" si="55">+BE46/(32.15074)/(BE48)</f>
        <v>908.56623900653369</v>
      </c>
      <c r="BF47" s="114">
        <f t="shared" si="55"/>
        <v>794.99058305822109</v>
      </c>
      <c r="BG47" s="6"/>
      <c r="BH47" s="6"/>
      <c r="BI47" s="6"/>
    </row>
    <row r="48" spans="2:61" x14ac:dyDescent="0.25">
      <c r="B48" s="35" t="s">
        <v>91</v>
      </c>
      <c r="C48" s="36">
        <v>11.53</v>
      </c>
      <c r="D48" s="36">
        <v>10.51</v>
      </c>
      <c r="E48" s="36">
        <v>10.38</v>
      </c>
      <c r="F48" s="36">
        <v>9.77</v>
      </c>
      <c r="G48" s="36">
        <v>8.3800000000000008</v>
      </c>
      <c r="H48" s="36">
        <v>7.74</v>
      </c>
      <c r="I48" s="36">
        <v>7.44</v>
      </c>
      <c r="J48" s="36">
        <v>6.76</v>
      </c>
      <c r="K48" s="36">
        <v>6.79</v>
      </c>
      <c r="L48" s="36">
        <v>6.6</v>
      </c>
      <c r="M48" s="36">
        <v>6.36</v>
      </c>
      <c r="N48" s="36">
        <v>6.12</v>
      </c>
      <c r="O48" s="36">
        <v>5.95</v>
      </c>
      <c r="P48" s="36">
        <v>6.39</v>
      </c>
      <c r="Q48" s="36">
        <v>6.52</v>
      </c>
      <c r="R48" s="36">
        <v>6.53</v>
      </c>
      <c r="S48" s="36">
        <v>6.14</v>
      </c>
      <c r="T48" s="36">
        <v>6.39</v>
      </c>
      <c r="U48" s="36">
        <v>7.1</v>
      </c>
      <c r="V48" s="36">
        <v>7.38</v>
      </c>
      <c r="W48" s="36">
        <v>7.21</v>
      </c>
      <c r="X48" s="36">
        <v>7.09</v>
      </c>
      <c r="Y48" s="36">
        <v>7.1</v>
      </c>
      <c r="Z48" s="36">
        <v>6.76</v>
      </c>
      <c r="AA48" s="37">
        <v>7.45</v>
      </c>
      <c r="AB48" s="37">
        <v>7.77</v>
      </c>
      <c r="AC48" s="37">
        <v>7.74</v>
      </c>
      <c r="AD48" s="37">
        <v>9.82</v>
      </c>
      <c r="AE48" s="37">
        <v>9.93</v>
      </c>
      <c r="AF48" s="37">
        <v>8.56</v>
      </c>
      <c r="AG48" s="37">
        <v>7.82</v>
      </c>
      <c r="AH48" s="37">
        <v>7.49</v>
      </c>
      <c r="AI48" s="37">
        <v>7.5</v>
      </c>
      <c r="AJ48" s="37">
        <v>7.51</v>
      </c>
      <c r="AK48" s="37">
        <v>7.36</v>
      </c>
      <c r="AL48" s="37">
        <v>6.92</v>
      </c>
      <c r="AM48" s="37">
        <v>6.98</v>
      </c>
      <c r="AN48" s="37">
        <v>6.78</v>
      </c>
      <c r="AO48" s="37">
        <v>7.05</v>
      </c>
      <c r="AP48" s="37">
        <v>8.08</v>
      </c>
      <c r="AQ48" s="37">
        <v>7.77</v>
      </c>
      <c r="AR48" s="37">
        <v>8.06</v>
      </c>
      <c r="AS48" s="37">
        <v>8.26</v>
      </c>
      <c r="AT48" s="37">
        <v>8.67</v>
      </c>
      <c r="AU48" s="37">
        <v>8.89</v>
      </c>
      <c r="AV48" s="37">
        <v>9.41</v>
      </c>
      <c r="AW48" s="37">
        <v>9.98</v>
      </c>
      <c r="AX48" s="37">
        <v>10.11</v>
      </c>
      <c r="AY48" s="78">
        <v>10.82</v>
      </c>
      <c r="AZ48" s="79">
        <v>10.53</v>
      </c>
      <c r="BA48" s="79">
        <v>10.72</v>
      </c>
      <c r="BB48" s="80">
        <v>11.2</v>
      </c>
      <c r="BC48" s="125">
        <v>11.7</v>
      </c>
      <c r="BD48" s="126">
        <v>12.07</v>
      </c>
      <c r="BE48" s="126">
        <v>13</v>
      </c>
      <c r="BF48" s="127">
        <v>14.21</v>
      </c>
      <c r="BG48" s="6"/>
      <c r="BH48" s="6"/>
      <c r="BI48" s="6"/>
    </row>
    <row r="49" spans="2:61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59"/>
      <c r="AZ49" s="57"/>
      <c r="BA49" s="57"/>
      <c r="BB49" s="58"/>
      <c r="BC49" s="128"/>
      <c r="BD49" s="106"/>
      <c r="BE49" s="129"/>
      <c r="BF49" s="130"/>
      <c r="BG49" s="6"/>
      <c r="BH49" s="6"/>
      <c r="BI49" s="6"/>
    </row>
    <row r="50" spans="2:61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59"/>
      <c r="AZ50" s="57"/>
      <c r="BA50" s="57"/>
      <c r="BB50" s="58"/>
      <c r="BC50" s="128"/>
      <c r="BD50" s="106"/>
      <c r="BE50" s="129"/>
      <c r="BF50" s="130"/>
      <c r="BG50" s="6"/>
      <c r="BH50" s="6"/>
      <c r="BI50" s="6"/>
    </row>
    <row r="51" spans="2:61" ht="21" x14ac:dyDescent="0.35">
      <c r="B51" s="38" t="s">
        <v>92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59"/>
      <c r="AZ51" s="57"/>
      <c r="BA51" s="57"/>
      <c r="BB51" s="58"/>
      <c r="BC51" s="128"/>
      <c r="BD51" s="106"/>
      <c r="BE51" s="129"/>
      <c r="BF51" s="130"/>
      <c r="BG51" s="6"/>
      <c r="BH51" s="6"/>
      <c r="BI51" s="6"/>
    </row>
    <row r="52" spans="2:61" x14ac:dyDescent="0.25">
      <c r="B52" s="8" t="s">
        <v>51</v>
      </c>
      <c r="C52" s="14">
        <v>10639</v>
      </c>
      <c r="D52" s="14">
        <v>11435</v>
      </c>
      <c r="E52" s="14">
        <v>13124</v>
      </c>
      <c r="F52" s="14">
        <v>13404</v>
      </c>
      <c r="G52" s="14">
        <v>10886</v>
      </c>
      <c r="H52" s="14">
        <v>12365</v>
      </c>
      <c r="I52" s="14">
        <v>11929</v>
      </c>
      <c r="J52" s="14">
        <v>12546</v>
      </c>
      <c r="K52" s="14">
        <v>9045</v>
      </c>
      <c r="L52" s="14">
        <v>10368</v>
      </c>
      <c r="M52" s="14">
        <v>9327</v>
      </c>
      <c r="N52" s="14">
        <v>9121</v>
      </c>
      <c r="O52" s="14">
        <v>7865</v>
      </c>
      <c r="P52" s="14">
        <v>7600</v>
      </c>
      <c r="Q52" s="14">
        <v>6404</v>
      </c>
      <c r="R52" s="14">
        <v>8104</v>
      </c>
      <c r="S52" s="14">
        <v>7724</v>
      </c>
      <c r="T52" s="14">
        <v>8183</v>
      </c>
      <c r="U52" s="14">
        <v>8630</v>
      </c>
      <c r="V52" s="14">
        <v>8940</v>
      </c>
      <c r="W52" s="14">
        <v>8507</v>
      </c>
      <c r="X52" s="14">
        <v>8972</v>
      </c>
      <c r="Y52" s="14">
        <v>10295</v>
      </c>
      <c r="Z52" s="14">
        <v>9077</v>
      </c>
      <c r="AA52" s="13">
        <f>17+271+1284+4859</f>
        <v>6431</v>
      </c>
      <c r="AB52" s="13">
        <f>170+1273+6339</f>
        <v>7782</v>
      </c>
      <c r="AC52" s="13">
        <v>6753</v>
      </c>
      <c r="AD52" s="13">
        <v>5854</v>
      </c>
      <c r="AE52" s="13">
        <v>4487</v>
      </c>
      <c r="AF52" s="13">
        <v>5743</v>
      </c>
      <c r="AG52" s="13">
        <f>214+1414+4741</f>
        <v>6369</v>
      </c>
      <c r="AH52" s="13">
        <f>191+1388+4644</f>
        <v>6223</v>
      </c>
      <c r="AI52" s="13">
        <f>266+907+3537</f>
        <v>4710</v>
      </c>
      <c r="AJ52" s="13">
        <f>241+1022+4600</f>
        <v>5863</v>
      </c>
      <c r="AK52" s="13">
        <v>4839</v>
      </c>
      <c r="AL52" s="13">
        <v>4805</v>
      </c>
      <c r="AM52" s="13">
        <v>4751</v>
      </c>
      <c r="AN52" s="13">
        <v>5085</v>
      </c>
      <c r="AO52" s="13">
        <v>4539</v>
      </c>
      <c r="AP52" s="13">
        <v>4981</v>
      </c>
      <c r="AQ52" s="13">
        <v>4141</v>
      </c>
      <c r="AR52" s="13">
        <v>4777</v>
      </c>
      <c r="AS52" s="13">
        <v>4754</v>
      </c>
      <c r="AT52" s="13">
        <v>2766</v>
      </c>
      <c r="AU52" s="13">
        <f>3681+169+865+7</f>
        <v>4722</v>
      </c>
      <c r="AV52" s="13">
        <f>3838+268+938+17</f>
        <v>5061</v>
      </c>
      <c r="AW52" s="13">
        <v>4539</v>
      </c>
      <c r="AX52" s="13">
        <v>5009</v>
      </c>
      <c r="AY52" s="59">
        <v>4316</v>
      </c>
      <c r="AZ52" s="57">
        <v>4734</v>
      </c>
      <c r="BA52" s="57">
        <v>4661</v>
      </c>
      <c r="BB52" s="58">
        <v>5032</v>
      </c>
      <c r="BC52" s="108">
        <v>4756</v>
      </c>
      <c r="BD52" s="106">
        <v>4566</v>
      </c>
      <c r="BE52" s="106">
        <v>4466</v>
      </c>
      <c r="BF52" s="107">
        <v>4111</v>
      </c>
      <c r="BG52" s="6"/>
      <c r="BH52" s="6"/>
      <c r="BI52" s="6"/>
    </row>
    <row r="53" spans="2:61" x14ac:dyDescent="0.25">
      <c r="B53" s="8" t="s">
        <v>52</v>
      </c>
      <c r="C53" s="14">
        <v>123528</v>
      </c>
      <c r="D53" s="14">
        <v>139992</v>
      </c>
      <c r="E53" s="14">
        <v>158770</v>
      </c>
      <c r="F53" s="14">
        <v>172561</v>
      </c>
      <c r="G53" s="14">
        <v>149039</v>
      </c>
      <c r="H53" s="14">
        <v>175036</v>
      </c>
      <c r="I53" s="14">
        <v>159319</v>
      </c>
      <c r="J53" s="14">
        <v>155898</v>
      </c>
      <c r="K53" s="14">
        <v>133602</v>
      </c>
      <c r="L53" s="14">
        <v>162492</v>
      </c>
      <c r="M53" s="14">
        <v>155473</v>
      </c>
      <c r="N53" s="14">
        <v>171363</v>
      </c>
      <c r="O53" s="14">
        <v>146332</v>
      </c>
      <c r="P53" s="14">
        <v>150292</v>
      </c>
      <c r="Q53" s="14">
        <v>138479</v>
      </c>
      <c r="R53" s="14">
        <v>160548</v>
      </c>
      <c r="S53" s="14">
        <v>147364</v>
      </c>
      <c r="T53" s="14">
        <v>152487</v>
      </c>
      <c r="U53" s="14">
        <v>150231</v>
      </c>
      <c r="V53" s="14">
        <v>154166</v>
      </c>
      <c r="W53" s="14">
        <v>143794</v>
      </c>
      <c r="X53" s="14">
        <v>155386</v>
      </c>
      <c r="Y53" s="14">
        <v>156404</v>
      </c>
      <c r="Z53" s="14">
        <v>146768</v>
      </c>
      <c r="AA53" s="13">
        <v>100036</v>
      </c>
      <c r="AB53" s="13">
        <v>118516</v>
      </c>
      <c r="AC53" s="13">
        <v>113854</v>
      </c>
      <c r="AD53" s="13">
        <v>106975</v>
      </c>
      <c r="AE53" s="13">
        <v>100635</v>
      </c>
      <c r="AF53" s="13">
        <v>106622</v>
      </c>
      <c r="AG53" s="13">
        <v>117165</v>
      </c>
      <c r="AH53" s="13">
        <v>108443</v>
      </c>
      <c r="AI53" s="13">
        <v>81114</v>
      </c>
      <c r="AJ53" s="13">
        <v>92863</v>
      </c>
      <c r="AK53" s="13">
        <v>90055</v>
      </c>
      <c r="AL53" s="13">
        <v>90773</v>
      </c>
      <c r="AM53" s="13">
        <v>79436</v>
      </c>
      <c r="AN53" s="13">
        <v>91346</v>
      </c>
      <c r="AO53" s="13">
        <v>75540</v>
      </c>
      <c r="AP53" s="13">
        <v>78796</v>
      </c>
      <c r="AQ53" s="13">
        <v>76799</v>
      </c>
      <c r="AR53" s="13">
        <v>76926</v>
      </c>
      <c r="AS53" s="13">
        <v>79049</v>
      </c>
      <c r="AT53" s="13">
        <v>45081</v>
      </c>
      <c r="AU53" s="13">
        <v>76716</v>
      </c>
      <c r="AV53" s="13">
        <v>74572</v>
      </c>
      <c r="AW53" s="13">
        <v>74653</v>
      </c>
      <c r="AX53" s="13">
        <v>75044</v>
      </c>
      <c r="AY53" s="59">
        <v>66296</v>
      </c>
      <c r="AZ53" s="57">
        <v>76239</v>
      </c>
      <c r="BA53" s="57">
        <v>76840</v>
      </c>
      <c r="BB53" s="58">
        <v>85555</v>
      </c>
      <c r="BC53" s="108">
        <v>74835</v>
      </c>
      <c r="BD53" s="106">
        <v>78367</v>
      </c>
      <c r="BE53" s="106">
        <v>79671</v>
      </c>
      <c r="BF53" s="107">
        <v>74877</v>
      </c>
      <c r="BG53" s="6"/>
      <c r="BH53" s="6"/>
      <c r="BI53" s="6"/>
    </row>
    <row r="54" spans="2:61" x14ac:dyDescent="0.25">
      <c r="B54" s="8" t="s">
        <v>53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59"/>
      <c r="AZ54" s="57"/>
      <c r="BA54" s="57"/>
      <c r="BB54" s="58"/>
      <c r="BC54" s="108"/>
      <c r="BD54" s="106"/>
      <c r="BE54" s="106"/>
      <c r="BF54" s="107"/>
      <c r="BG54" s="6"/>
      <c r="BH54" s="6"/>
      <c r="BI54" s="6"/>
    </row>
    <row r="55" spans="2:61" x14ac:dyDescent="0.25">
      <c r="B55" t="s">
        <v>54</v>
      </c>
      <c r="C55" s="14">
        <v>723</v>
      </c>
      <c r="D55" s="14">
        <v>807</v>
      </c>
      <c r="E55" s="14">
        <v>866</v>
      </c>
      <c r="F55" s="14">
        <v>913</v>
      </c>
      <c r="G55" s="14">
        <v>975</v>
      </c>
      <c r="H55" s="14">
        <v>973</v>
      </c>
      <c r="I55" s="14">
        <v>969</v>
      </c>
      <c r="J55" s="14">
        <v>921</v>
      </c>
      <c r="K55" s="14">
        <v>744</v>
      </c>
      <c r="L55" s="14">
        <v>818</v>
      </c>
      <c r="M55" s="14">
        <v>890</v>
      </c>
      <c r="N55" s="14">
        <v>923</v>
      </c>
      <c r="O55" s="14">
        <v>826</v>
      </c>
      <c r="P55" s="14">
        <v>832</v>
      </c>
      <c r="Q55" s="14">
        <v>767</v>
      </c>
      <c r="R55" s="14">
        <v>880</v>
      </c>
      <c r="S55" s="14">
        <v>733</v>
      </c>
      <c r="T55" s="14">
        <v>826</v>
      </c>
      <c r="U55" s="14">
        <v>852</v>
      </c>
      <c r="V55" s="14">
        <v>893</v>
      </c>
      <c r="W55" s="14">
        <v>851</v>
      </c>
      <c r="X55" s="14">
        <v>851</v>
      </c>
      <c r="Y55" s="14">
        <v>893</v>
      </c>
      <c r="Z55" s="14">
        <v>839</v>
      </c>
      <c r="AA55" s="13">
        <v>521</v>
      </c>
      <c r="AB55" s="13">
        <v>688</v>
      </c>
      <c r="AC55" s="13">
        <v>603</v>
      </c>
      <c r="AD55" s="13">
        <v>614</v>
      </c>
      <c r="AE55" s="13">
        <v>543</v>
      </c>
      <c r="AF55" s="13">
        <v>638</v>
      </c>
      <c r="AG55" s="13">
        <v>713</v>
      </c>
      <c r="AH55" s="13">
        <v>612</v>
      </c>
      <c r="AI55" s="13">
        <v>454</v>
      </c>
      <c r="AJ55" s="13">
        <v>599</v>
      </c>
      <c r="AK55" s="13">
        <v>577</v>
      </c>
      <c r="AL55" s="13">
        <v>571</v>
      </c>
      <c r="AM55" s="13">
        <v>482</v>
      </c>
      <c r="AN55" s="13">
        <v>597</v>
      </c>
      <c r="AO55" s="13">
        <v>587</v>
      </c>
      <c r="AP55" s="13">
        <v>546</v>
      </c>
      <c r="AQ55" s="13">
        <v>426</v>
      </c>
      <c r="AR55" s="13">
        <v>501</v>
      </c>
      <c r="AS55" s="13">
        <v>491</v>
      </c>
      <c r="AT55" s="13">
        <v>383</v>
      </c>
      <c r="AU55" s="13">
        <v>438</v>
      </c>
      <c r="AV55" s="13">
        <v>501</v>
      </c>
      <c r="AW55" s="13">
        <v>485</v>
      </c>
      <c r="AX55" s="13">
        <v>474</v>
      </c>
      <c r="AY55" s="63">
        <v>454</v>
      </c>
      <c r="AZ55" s="57">
        <v>495</v>
      </c>
      <c r="BA55" s="57">
        <v>495</v>
      </c>
      <c r="BB55" s="58">
        <v>539</v>
      </c>
      <c r="BC55" s="108">
        <v>412</v>
      </c>
      <c r="BD55" s="106">
        <v>503</v>
      </c>
      <c r="BE55" s="106">
        <v>500</v>
      </c>
      <c r="BF55" s="107">
        <v>564</v>
      </c>
      <c r="BG55" s="6"/>
      <c r="BH55" s="6"/>
      <c r="BI55" s="6"/>
    </row>
    <row r="56" spans="2:61" x14ac:dyDescent="0.25">
      <c r="B56" t="s">
        <v>55</v>
      </c>
      <c r="C56" s="14">
        <v>385</v>
      </c>
      <c r="D56" s="14">
        <v>416</v>
      </c>
      <c r="E56" s="14">
        <v>280</v>
      </c>
      <c r="F56" s="14">
        <v>285</v>
      </c>
      <c r="G56" s="14">
        <v>262</v>
      </c>
      <c r="H56" s="14">
        <v>284</v>
      </c>
      <c r="I56" s="14">
        <v>278</v>
      </c>
      <c r="J56" s="14">
        <v>363</v>
      </c>
      <c r="K56" s="14">
        <v>483</v>
      </c>
      <c r="L56" s="14">
        <v>407</v>
      </c>
      <c r="M56" s="14">
        <v>369</v>
      </c>
      <c r="N56" s="14">
        <v>352</v>
      </c>
      <c r="O56" s="14">
        <v>393</v>
      </c>
      <c r="P56" s="14">
        <v>70</v>
      </c>
      <c r="Q56" s="14">
        <v>108</v>
      </c>
      <c r="R56" s="14">
        <v>70</v>
      </c>
      <c r="S56" s="14">
        <v>116</v>
      </c>
      <c r="T56" s="14">
        <v>166</v>
      </c>
      <c r="U56" s="14">
        <v>140</v>
      </c>
      <c r="V56" s="14">
        <v>93</v>
      </c>
      <c r="W56" s="14">
        <v>69</v>
      </c>
      <c r="X56" s="14">
        <v>80</v>
      </c>
      <c r="Y56" s="14">
        <v>101</v>
      </c>
      <c r="Z56" s="14">
        <v>169</v>
      </c>
      <c r="AA56" s="13">
        <v>287</v>
      </c>
      <c r="AB56" s="13">
        <v>455</v>
      </c>
      <c r="AC56" s="13">
        <v>368</v>
      </c>
      <c r="AD56" s="13">
        <v>154</v>
      </c>
      <c r="AE56" s="13">
        <v>146</v>
      </c>
      <c r="AF56" s="13">
        <v>253</v>
      </c>
      <c r="AG56" s="13">
        <v>328</v>
      </c>
      <c r="AH56" s="13">
        <v>461</v>
      </c>
      <c r="AI56" s="13">
        <v>574</v>
      </c>
      <c r="AJ56" s="13">
        <v>558</v>
      </c>
      <c r="AK56" s="13">
        <v>529</v>
      </c>
      <c r="AL56" s="13">
        <v>472</v>
      </c>
      <c r="AM56" s="13">
        <v>576</v>
      </c>
      <c r="AN56" s="13">
        <v>569</v>
      </c>
      <c r="AO56" s="13">
        <v>642</v>
      </c>
      <c r="AP56" s="13">
        <v>685</v>
      </c>
      <c r="AQ56" s="13">
        <v>704</v>
      </c>
      <c r="AR56" s="13">
        <v>580</v>
      </c>
      <c r="AS56" s="13">
        <v>537</v>
      </c>
      <c r="AT56" s="13">
        <v>460</v>
      </c>
      <c r="AU56" s="13">
        <v>551</v>
      </c>
      <c r="AV56" s="13">
        <v>507</v>
      </c>
      <c r="AW56" s="13">
        <v>619</v>
      </c>
      <c r="AX56" s="13">
        <v>648</v>
      </c>
      <c r="AY56" s="63">
        <v>723</v>
      </c>
      <c r="AZ56" s="57">
        <v>832</v>
      </c>
      <c r="BA56" s="57">
        <v>573</v>
      </c>
      <c r="BB56" s="58">
        <v>542</v>
      </c>
      <c r="BC56" s="108">
        <v>499</v>
      </c>
      <c r="BD56" s="106">
        <v>503</v>
      </c>
      <c r="BE56" s="106">
        <v>495</v>
      </c>
      <c r="BF56" s="107">
        <v>501</v>
      </c>
      <c r="BG56" s="6"/>
      <c r="BH56" s="6"/>
      <c r="BI56" s="6"/>
    </row>
    <row r="57" spans="2:61" x14ac:dyDescent="0.25">
      <c r="B57" t="s">
        <v>56</v>
      </c>
      <c r="C57" s="14">
        <f>+C56+C55</f>
        <v>1108</v>
      </c>
      <c r="D57" s="14">
        <f t="shared" ref="D57:AZ57" si="56">+D56+D55</f>
        <v>1223</v>
      </c>
      <c r="E57" s="14">
        <f t="shared" si="56"/>
        <v>1146</v>
      </c>
      <c r="F57" s="14">
        <f t="shared" si="56"/>
        <v>1198</v>
      </c>
      <c r="G57" s="14">
        <f t="shared" si="56"/>
        <v>1237</v>
      </c>
      <c r="H57" s="14">
        <f t="shared" si="56"/>
        <v>1257</v>
      </c>
      <c r="I57" s="14">
        <f t="shared" si="56"/>
        <v>1247</v>
      </c>
      <c r="J57" s="14">
        <f t="shared" si="56"/>
        <v>1284</v>
      </c>
      <c r="K57" s="14">
        <f t="shared" si="56"/>
        <v>1227</v>
      </c>
      <c r="L57" s="14">
        <f t="shared" si="56"/>
        <v>1225</v>
      </c>
      <c r="M57" s="14">
        <f t="shared" si="56"/>
        <v>1259</v>
      </c>
      <c r="N57" s="14">
        <f t="shared" si="56"/>
        <v>1275</v>
      </c>
      <c r="O57" s="14">
        <f t="shared" si="56"/>
        <v>1219</v>
      </c>
      <c r="P57" s="14">
        <f t="shared" si="56"/>
        <v>902</v>
      </c>
      <c r="Q57" s="14">
        <f t="shared" si="56"/>
        <v>875</v>
      </c>
      <c r="R57" s="14">
        <f t="shared" si="56"/>
        <v>950</v>
      </c>
      <c r="S57" s="14">
        <f t="shared" si="56"/>
        <v>849</v>
      </c>
      <c r="T57" s="14">
        <f t="shared" si="56"/>
        <v>992</v>
      </c>
      <c r="U57" s="14">
        <f t="shared" si="56"/>
        <v>992</v>
      </c>
      <c r="V57" s="14">
        <f t="shared" si="56"/>
        <v>986</v>
      </c>
      <c r="W57" s="14">
        <f t="shared" si="56"/>
        <v>920</v>
      </c>
      <c r="X57" s="14">
        <f t="shared" si="56"/>
        <v>931</v>
      </c>
      <c r="Y57" s="14">
        <f t="shared" si="56"/>
        <v>994</v>
      </c>
      <c r="Z57" s="14">
        <f t="shared" si="56"/>
        <v>1008</v>
      </c>
      <c r="AA57" s="13">
        <f t="shared" si="56"/>
        <v>808</v>
      </c>
      <c r="AB57" s="13">
        <f t="shared" si="56"/>
        <v>1143</v>
      </c>
      <c r="AC57" s="13">
        <f t="shared" si="56"/>
        <v>971</v>
      </c>
      <c r="AD57" s="13">
        <f t="shared" si="56"/>
        <v>768</v>
      </c>
      <c r="AE57" s="13">
        <f t="shared" si="56"/>
        <v>689</v>
      </c>
      <c r="AF57" s="13">
        <f t="shared" si="56"/>
        <v>891</v>
      </c>
      <c r="AG57" s="13">
        <f t="shared" si="56"/>
        <v>1041</v>
      </c>
      <c r="AH57" s="13">
        <f t="shared" si="56"/>
        <v>1073</v>
      </c>
      <c r="AI57" s="13">
        <f t="shared" si="56"/>
        <v>1028</v>
      </c>
      <c r="AJ57" s="13">
        <f t="shared" si="56"/>
        <v>1157</v>
      </c>
      <c r="AK57" s="13">
        <f t="shared" si="56"/>
        <v>1106</v>
      </c>
      <c r="AL57" s="13">
        <f t="shared" si="56"/>
        <v>1043</v>
      </c>
      <c r="AM57" s="13">
        <f t="shared" si="56"/>
        <v>1058</v>
      </c>
      <c r="AN57" s="13">
        <f t="shared" si="56"/>
        <v>1166</v>
      </c>
      <c r="AO57" s="13">
        <f t="shared" si="56"/>
        <v>1229</v>
      </c>
      <c r="AP57" s="13">
        <f t="shared" si="56"/>
        <v>1231</v>
      </c>
      <c r="AQ57" s="13">
        <f t="shared" si="56"/>
        <v>1130</v>
      </c>
      <c r="AR57" s="13">
        <f t="shared" si="56"/>
        <v>1081</v>
      </c>
      <c r="AS57" s="13">
        <f t="shared" si="56"/>
        <v>1028</v>
      </c>
      <c r="AT57" s="13">
        <f t="shared" si="56"/>
        <v>843</v>
      </c>
      <c r="AU57" s="13">
        <f t="shared" si="56"/>
        <v>989</v>
      </c>
      <c r="AV57" s="13">
        <f t="shared" si="56"/>
        <v>1008</v>
      </c>
      <c r="AW57" s="13">
        <f t="shared" si="56"/>
        <v>1104</v>
      </c>
      <c r="AX57" s="13">
        <f t="shared" si="56"/>
        <v>1122</v>
      </c>
      <c r="AY57" s="63">
        <f t="shared" si="56"/>
        <v>1177</v>
      </c>
      <c r="AZ57" s="64">
        <f t="shared" si="56"/>
        <v>1327</v>
      </c>
      <c r="BA57" s="64">
        <f t="shared" ref="BA57:BB57" si="57">+BA56+BA55</f>
        <v>1068</v>
      </c>
      <c r="BB57" s="65">
        <f t="shared" si="57"/>
        <v>1081</v>
      </c>
      <c r="BC57" s="112">
        <f t="shared" ref="BC57:BD57" si="58">+BC56+BC55</f>
        <v>911</v>
      </c>
      <c r="BD57" s="113">
        <f t="shared" si="58"/>
        <v>1006</v>
      </c>
      <c r="BE57" s="113">
        <f t="shared" ref="BE57:BF57" si="59">+BE56+BE55</f>
        <v>995</v>
      </c>
      <c r="BF57" s="114">
        <f t="shared" si="59"/>
        <v>1065</v>
      </c>
      <c r="BG57" s="6"/>
      <c r="BH57" s="6"/>
      <c r="BI57" s="6"/>
    </row>
    <row r="58" spans="2:61" x14ac:dyDescent="0.25">
      <c r="B58" s="8" t="s">
        <v>57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63"/>
      <c r="AZ58" s="57"/>
      <c r="BA58" s="57"/>
      <c r="BB58" s="58"/>
      <c r="BC58" s="108"/>
      <c r="BD58" s="106"/>
      <c r="BE58" s="106"/>
      <c r="BF58" s="107"/>
      <c r="BG58" s="6"/>
      <c r="BH58" s="6"/>
      <c r="BI58" s="6"/>
    </row>
    <row r="59" spans="2:61" x14ac:dyDescent="0.25">
      <c r="B59" t="s">
        <v>54</v>
      </c>
      <c r="C59" s="36">
        <f>+C63/C55</f>
        <v>10.775933609958507</v>
      </c>
      <c r="D59" s="36">
        <v>10.3</v>
      </c>
      <c r="E59" s="36">
        <v>10.199999999999999</v>
      </c>
      <c r="F59" s="36">
        <v>9.8000000000000007</v>
      </c>
      <c r="G59" s="36">
        <v>9.3000000000000007</v>
      </c>
      <c r="H59" s="36">
        <v>8</v>
      </c>
      <c r="I59" s="36">
        <v>8.1</v>
      </c>
      <c r="J59" s="36">
        <v>8.6</v>
      </c>
      <c r="K59" s="36">
        <v>10</v>
      </c>
      <c r="L59" s="36">
        <v>9.5</v>
      </c>
      <c r="M59" s="36">
        <v>9.1</v>
      </c>
      <c r="N59" s="36">
        <v>9.1999999999999993</v>
      </c>
      <c r="O59" s="36">
        <v>9.6999999999999993</v>
      </c>
      <c r="P59" s="36">
        <v>8.3000000000000007</v>
      </c>
      <c r="Q59" s="36">
        <v>8.6999999999999993</v>
      </c>
      <c r="R59" s="36">
        <v>8.8000000000000007</v>
      </c>
      <c r="S59" s="36">
        <v>8.6</v>
      </c>
      <c r="T59" s="36">
        <v>8.6999999999999993</v>
      </c>
      <c r="U59" s="36">
        <v>8.6999999999999993</v>
      </c>
      <c r="V59" s="36">
        <v>7.8</v>
      </c>
      <c r="W59" s="36">
        <v>8</v>
      </c>
      <c r="X59" s="36">
        <v>8.3000000000000007</v>
      </c>
      <c r="Y59" s="36">
        <v>8.1</v>
      </c>
      <c r="Z59" s="36">
        <v>8.4</v>
      </c>
      <c r="AA59" s="37">
        <v>9.9</v>
      </c>
      <c r="AB59" s="37">
        <v>7.5</v>
      </c>
      <c r="AC59" s="37">
        <v>7.7</v>
      </c>
      <c r="AD59" s="37">
        <v>7.5</v>
      </c>
      <c r="AE59" s="37">
        <v>9.8000000000000007</v>
      </c>
      <c r="AF59" s="37">
        <v>7.4</v>
      </c>
      <c r="AG59" s="37">
        <v>6.7</v>
      </c>
      <c r="AH59" s="37">
        <v>7.5</v>
      </c>
      <c r="AI59" s="37">
        <v>6.6</v>
      </c>
      <c r="AJ59" s="37">
        <v>6.5</v>
      </c>
      <c r="AK59" s="37">
        <v>6.4</v>
      </c>
      <c r="AL59" s="37">
        <v>6.3</v>
      </c>
      <c r="AM59" s="37">
        <v>6.9</v>
      </c>
      <c r="AN59" s="37">
        <v>6.7</v>
      </c>
      <c r="AO59" s="37">
        <v>6.9</v>
      </c>
      <c r="AP59" s="37">
        <v>6.9</v>
      </c>
      <c r="AQ59" s="37">
        <v>7.4</v>
      </c>
      <c r="AR59" s="37">
        <v>8.1</v>
      </c>
      <c r="AS59" s="35">
        <f t="shared" ref="AS59:AY61" si="60">+AS63/AS55</f>
        <v>8.3156822810590629</v>
      </c>
      <c r="AT59" s="35">
        <f t="shared" si="60"/>
        <v>6.6919060052219317</v>
      </c>
      <c r="AU59" s="35">
        <f t="shared" si="60"/>
        <v>7.1803652968036529</v>
      </c>
      <c r="AV59" s="35">
        <f t="shared" si="60"/>
        <v>7.8682634730538918</v>
      </c>
      <c r="AW59" s="35">
        <f t="shared" si="60"/>
        <v>7.6</v>
      </c>
      <c r="AX59" s="35">
        <f t="shared" si="60"/>
        <v>7.9324894514767932</v>
      </c>
      <c r="AY59" s="60">
        <f t="shared" si="60"/>
        <v>7.8612334801762112</v>
      </c>
      <c r="AZ59" s="61">
        <f t="shared" ref="AZ59:BB59" si="61">+AZ63/AZ55</f>
        <v>7.8565656565656568</v>
      </c>
      <c r="BA59" s="61">
        <f t="shared" si="61"/>
        <v>7.6767676767676765</v>
      </c>
      <c r="BB59" s="62">
        <f t="shared" si="61"/>
        <v>8.1539888682745829</v>
      </c>
      <c r="BC59" s="109">
        <f t="shared" ref="BC59:BD59" si="62">+BC63/BC55</f>
        <v>5.842233009708738</v>
      </c>
      <c r="BD59" s="110">
        <f t="shared" si="62"/>
        <v>7.1351888667992052</v>
      </c>
      <c r="BE59" s="110">
        <f t="shared" ref="BE59:BF59" si="63">+BE63/BE55</f>
        <v>6.3360000000000003</v>
      </c>
      <c r="BF59" s="111">
        <f t="shared" si="63"/>
        <v>6.5319148936170217</v>
      </c>
      <c r="BG59" s="6"/>
      <c r="BH59" s="6"/>
      <c r="BI59" s="6"/>
    </row>
    <row r="60" spans="2:61" x14ac:dyDescent="0.25">
      <c r="B60" t="s">
        <v>55</v>
      </c>
      <c r="C60" s="36">
        <f>+C64/C56</f>
        <v>0.62337662337662336</v>
      </c>
      <c r="D60" s="36">
        <v>0.5</v>
      </c>
      <c r="E60" s="36">
        <v>0.5</v>
      </c>
      <c r="F60" s="36">
        <v>0.7</v>
      </c>
      <c r="G60" s="36">
        <v>0.7</v>
      </c>
      <c r="H60" s="36">
        <v>1</v>
      </c>
      <c r="I60" s="36">
        <v>1.6</v>
      </c>
      <c r="J60" s="36">
        <v>0.8</v>
      </c>
      <c r="K60" s="36">
        <v>0.7</v>
      </c>
      <c r="L60" s="36">
        <v>0.7</v>
      </c>
      <c r="M60" s="36">
        <v>0.6</v>
      </c>
      <c r="N60" s="36">
        <v>0.7</v>
      </c>
      <c r="O60" s="36">
        <v>0.6</v>
      </c>
      <c r="P60" s="36">
        <v>1.4</v>
      </c>
      <c r="Q60" s="36">
        <v>0.9</v>
      </c>
      <c r="R60" s="36">
        <v>2.2000000000000002</v>
      </c>
      <c r="S60" s="36">
        <v>0.9</v>
      </c>
      <c r="T60" s="36">
        <v>0.9</v>
      </c>
      <c r="U60" s="36">
        <v>0.9</v>
      </c>
      <c r="V60" s="36">
        <v>2.1</v>
      </c>
      <c r="W60" s="36">
        <v>1</v>
      </c>
      <c r="X60" s="36">
        <v>0.7</v>
      </c>
      <c r="Y60" s="36">
        <v>0.7</v>
      </c>
      <c r="Z60" s="36">
        <v>0.9</v>
      </c>
      <c r="AA60" s="37">
        <v>1.1000000000000001</v>
      </c>
      <c r="AB60" s="37">
        <v>0.9</v>
      </c>
      <c r="AC60" s="37">
        <v>0.7</v>
      </c>
      <c r="AD60" s="37">
        <v>0.6</v>
      </c>
      <c r="AE60" s="37">
        <v>0.6</v>
      </c>
      <c r="AF60" s="37">
        <v>1</v>
      </c>
      <c r="AG60" s="37">
        <v>0.8</v>
      </c>
      <c r="AH60" s="37">
        <v>0.6</v>
      </c>
      <c r="AI60" s="37">
        <v>0.6</v>
      </c>
      <c r="AJ60" s="37">
        <v>0.9</v>
      </c>
      <c r="AK60" s="37">
        <v>0.6</v>
      </c>
      <c r="AL60" s="37">
        <v>0.7</v>
      </c>
      <c r="AM60" s="37">
        <v>0.8</v>
      </c>
      <c r="AN60" s="37">
        <v>0.5</v>
      </c>
      <c r="AO60" s="37">
        <v>0.5</v>
      </c>
      <c r="AP60" s="37">
        <v>0.6</v>
      </c>
      <c r="AQ60" s="37">
        <v>0.6</v>
      </c>
      <c r="AR60" s="37">
        <v>0.6</v>
      </c>
      <c r="AS60" s="35">
        <f t="shared" si="60"/>
        <v>0.62383612662942267</v>
      </c>
      <c r="AT60" s="35">
        <f t="shared" si="60"/>
        <v>0.81956521739130439</v>
      </c>
      <c r="AU60" s="35">
        <f t="shared" si="60"/>
        <v>0.67513611615245006</v>
      </c>
      <c r="AV60" s="35">
        <f t="shared" si="60"/>
        <v>0.70808678500986189</v>
      </c>
      <c r="AW60" s="35">
        <f t="shared" si="60"/>
        <v>0.57835218093699514</v>
      </c>
      <c r="AX60" s="35">
        <f t="shared" si="60"/>
        <v>0.5478395061728395</v>
      </c>
      <c r="AY60" s="60">
        <f t="shared" si="60"/>
        <v>0.45089903181189489</v>
      </c>
      <c r="AZ60" s="61">
        <f t="shared" ref="AZ60:BB60" si="64">+AZ64/AZ56</f>
        <v>0.50841346153846156</v>
      </c>
      <c r="BA60" s="61">
        <f t="shared" si="64"/>
        <v>0.53752181500872598</v>
      </c>
      <c r="BB60" s="62">
        <f t="shared" si="64"/>
        <v>0.60516605166051662</v>
      </c>
      <c r="BC60" s="109">
        <f t="shared" ref="BC60:BD60" si="65">+BC64/BC56</f>
        <v>0.60320641282565135</v>
      </c>
      <c r="BD60" s="110">
        <f t="shared" si="65"/>
        <v>0.59642147117296218</v>
      </c>
      <c r="BE60" s="110">
        <f t="shared" ref="BE60:BF60" si="66">+BE64/BE56</f>
        <v>0.64444444444444449</v>
      </c>
      <c r="BF60" s="111">
        <f t="shared" si="66"/>
        <v>0.59880239520958078</v>
      </c>
      <c r="BG60" s="6"/>
      <c r="BH60" s="6"/>
      <c r="BI60" s="6"/>
    </row>
    <row r="61" spans="2:61" x14ac:dyDescent="0.25">
      <c r="B61" t="s">
        <v>58</v>
      </c>
      <c r="C61" s="36">
        <f>+C65/C57</f>
        <v>7.2481949458483754</v>
      </c>
      <c r="D61" s="36">
        <v>7</v>
      </c>
      <c r="E61" s="36">
        <v>7.9</v>
      </c>
      <c r="F61" s="36">
        <v>7.6</v>
      </c>
      <c r="G61" s="36">
        <v>7.5</v>
      </c>
      <c r="H61" s="36">
        <v>6.4</v>
      </c>
      <c r="I61" s="36">
        <v>5.6</v>
      </c>
      <c r="J61" s="36">
        <v>6.4</v>
      </c>
      <c r="K61" s="36">
        <v>6.4</v>
      </c>
      <c r="L61" s="36">
        <v>6.6</v>
      </c>
      <c r="M61" s="36">
        <v>6.6</v>
      </c>
      <c r="N61" s="36">
        <v>6.8</v>
      </c>
      <c r="O61" s="36">
        <v>6.7</v>
      </c>
      <c r="P61" s="36">
        <v>7.8</v>
      </c>
      <c r="Q61" s="36">
        <v>7.8</v>
      </c>
      <c r="R61" s="36">
        <v>8.3000000000000007</v>
      </c>
      <c r="S61" s="36">
        <v>7.6</v>
      </c>
      <c r="T61" s="36">
        <v>7.4</v>
      </c>
      <c r="U61" s="36">
        <v>7.6</v>
      </c>
      <c r="V61" s="36">
        <v>7.3</v>
      </c>
      <c r="W61" s="36">
        <v>7.4</v>
      </c>
      <c r="X61" s="36">
        <v>7.7</v>
      </c>
      <c r="Y61" s="36">
        <v>7.4</v>
      </c>
      <c r="Z61" s="36">
        <v>7.1</v>
      </c>
      <c r="AA61" s="37">
        <v>6.8</v>
      </c>
      <c r="AB61" s="37">
        <v>4.9000000000000004</v>
      </c>
      <c r="AC61" s="37">
        <v>5</v>
      </c>
      <c r="AD61" s="37">
        <v>6.1</v>
      </c>
      <c r="AE61" s="37">
        <v>7.8</v>
      </c>
      <c r="AF61" s="37">
        <v>5.6</v>
      </c>
      <c r="AG61" s="37">
        <v>4.8</v>
      </c>
      <c r="AH61" s="37">
        <v>4.5999999999999996</v>
      </c>
      <c r="AI61" s="37">
        <v>3.3</v>
      </c>
      <c r="AJ61" s="37">
        <v>3.8</v>
      </c>
      <c r="AK61" s="37">
        <v>3.7</v>
      </c>
      <c r="AL61" s="37">
        <v>3.8</v>
      </c>
      <c r="AM61" s="37">
        <v>3.5</v>
      </c>
      <c r="AN61" s="37">
        <v>3.7</v>
      </c>
      <c r="AO61" s="37">
        <v>3.5</v>
      </c>
      <c r="AP61" s="37">
        <v>3.4</v>
      </c>
      <c r="AQ61" s="37">
        <v>3.2</v>
      </c>
      <c r="AR61" s="37">
        <v>4</v>
      </c>
      <c r="AS61" s="35">
        <f t="shared" si="60"/>
        <v>4.2976653696498053</v>
      </c>
      <c r="AT61" s="35">
        <f t="shared" si="60"/>
        <v>3.487544483985765</v>
      </c>
      <c r="AU61" s="35">
        <f t="shared" si="60"/>
        <v>3.5561172901921134</v>
      </c>
      <c r="AV61" s="35">
        <f t="shared" si="60"/>
        <v>4.2668650793650791</v>
      </c>
      <c r="AW61" s="35">
        <f t="shared" si="60"/>
        <v>3.6630434782608696</v>
      </c>
      <c r="AX61" s="35">
        <f t="shared" si="60"/>
        <v>3.6675579322638145</v>
      </c>
      <c r="AY61" s="60">
        <f t="shared" si="60"/>
        <v>3.3092608326253186</v>
      </c>
      <c r="AZ61" s="61">
        <f t="shared" ref="AZ61:BB61" si="67">+AZ65/AZ57</f>
        <v>3.2494348153730219</v>
      </c>
      <c r="BA61" s="61">
        <f t="shared" si="67"/>
        <v>3.8464419475655429</v>
      </c>
      <c r="BB61" s="62">
        <f t="shared" si="67"/>
        <v>4.3691026827012029</v>
      </c>
      <c r="BC61" s="109">
        <f t="shared" ref="BC61:BD61" si="68">+BC65/BC57</f>
        <v>2.972557628979144</v>
      </c>
      <c r="BD61" s="110">
        <f t="shared" si="68"/>
        <v>3.8658051689860833</v>
      </c>
      <c r="BE61" s="110">
        <f t="shared" ref="BE61:BF61" si="69">+BE65/BE57</f>
        <v>3.5045226130653266</v>
      </c>
      <c r="BF61" s="111">
        <f t="shared" si="69"/>
        <v>3.7408450704225351</v>
      </c>
      <c r="BG61" s="6"/>
      <c r="BH61" s="6"/>
      <c r="BI61" s="6"/>
    </row>
    <row r="62" spans="2:61" x14ac:dyDescent="0.25">
      <c r="B62" s="8" t="s">
        <v>59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63"/>
      <c r="AZ62" s="64"/>
      <c r="BA62" s="64"/>
      <c r="BB62" s="65"/>
      <c r="BC62" s="112"/>
      <c r="BD62" s="113"/>
      <c r="BE62" s="113"/>
      <c r="BF62" s="114"/>
      <c r="BG62" s="6"/>
      <c r="BH62" s="6"/>
      <c r="BI62" s="6"/>
    </row>
    <row r="63" spans="2:61" x14ac:dyDescent="0.25">
      <c r="B63" t="s">
        <v>54</v>
      </c>
      <c r="C63" s="14">
        <v>7791</v>
      </c>
      <c r="D63" s="14">
        <v>8277</v>
      </c>
      <c r="E63" s="14">
        <v>8865</v>
      </c>
      <c r="F63" s="14">
        <v>8911</v>
      </c>
      <c r="G63" s="14">
        <v>9072</v>
      </c>
      <c r="H63" s="14">
        <v>7786</v>
      </c>
      <c r="I63" s="14">
        <v>7880</v>
      </c>
      <c r="J63" s="14">
        <v>7958</v>
      </c>
      <c r="K63" s="14">
        <v>7466</v>
      </c>
      <c r="L63" s="14">
        <v>7785</v>
      </c>
      <c r="M63" s="14">
        <v>8076</v>
      </c>
      <c r="N63" s="14">
        <v>8475</v>
      </c>
      <c r="O63" s="14">
        <v>8003</v>
      </c>
      <c r="P63" s="14">
        <v>6920</v>
      </c>
      <c r="Q63" s="14">
        <v>6692</v>
      </c>
      <c r="R63" s="14">
        <v>7706</v>
      </c>
      <c r="S63" s="14">
        <v>6330</v>
      </c>
      <c r="T63" s="14">
        <v>7187</v>
      </c>
      <c r="U63" s="14">
        <v>7423</v>
      </c>
      <c r="V63" s="14">
        <v>6978</v>
      </c>
      <c r="W63" s="14">
        <v>6773</v>
      </c>
      <c r="X63" s="14">
        <v>7086</v>
      </c>
      <c r="Y63" s="14">
        <v>7250</v>
      </c>
      <c r="Z63" s="14">
        <v>7024</v>
      </c>
      <c r="AA63" s="13">
        <v>5145</v>
      </c>
      <c r="AB63" s="13">
        <v>5168</v>
      </c>
      <c r="AC63" s="13">
        <v>4626</v>
      </c>
      <c r="AD63" s="13">
        <v>4620</v>
      </c>
      <c r="AE63" s="13">
        <v>5317</v>
      </c>
      <c r="AF63" s="13">
        <v>4753</v>
      </c>
      <c r="AG63" s="13">
        <v>4749</v>
      </c>
      <c r="AH63" s="13">
        <v>4598</v>
      </c>
      <c r="AI63" s="13">
        <v>2991</v>
      </c>
      <c r="AJ63" s="13">
        <v>3887</v>
      </c>
      <c r="AK63" s="13">
        <v>3714</v>
      </c>
      <c r="AL63" s="13">
        <v>3614</v>
      </c>
      <c r="AM63" s="13">
        <v>3349</v>
      </c>
      <c r="AN63" s="13">
        <v>3971</v>
      </c>
      <c r="AO63" s="13">
        <v>4039</v>
      </c>
      <c r="AP63" s="13">
        <v>3769</v>
      </c>
      <c r="AQ63" s="13">
        <v>3169</v>
      </c>
      <c r="AR63" s="13">
        <v>4051</v>
      </c>
      <c r="AS63" s="13">
        <v>4083</v>
      </c>
      <c r="AT63" s="13">
        <v>2563</v>
      </c>
      <c r="AU63" s="13">
        <v>3145</v>
      </c>
      <c r="AV63" s="13">
        <v>3942</v>
      </c>
      <c r="AW63" s="13">
        <v>3686</v>
      </c>
      <c r="AX63" s="13">
        <v>3760</v>
      </c>
      <c r="AY63" s="63">
        <v>3569</v>
      </c>
      <c r="AZ63" s="57">
        <v>3889</v>
      </c>
      <c r="BA63" s="57">
        <v>3800</v>
      </c>
      <c r="BB63" s="58">
        <v>4395</v>
      </c>
      <c r="BC63" s="108">
        <v>2407</v>
      </c>
      <c r="BD63" s="106">
        <v>3589</v>
      </c>
      <c r="BE63" s="106">
        <v>3168</v>
      </c>
      <c r="BF63" s="107">
        <v>3684</v>
      </c>
      <c r="BG63" s="6"/>
      <c r="BH63" s="6"/>
      <c r="BI63" s="6"/>
    </row>
    <row r="64" spans="2:61" x14ac:dyDescent="0.25">
      <c r="B64" t="s">
        <v>55</v>
      </c>
      <c r="C64" s="14">
        <v>240</v>
      </c>
      <c r="D64" s="14">
        <v>226</v>
      </c>
      <c r="E64" s="14">
        <v>138</v>
      </c>
      <c r="F64" s="14">
        <v>203</v>
      </c>
      <c r="G64" s="14">
        <v>196</v>
      </c>
      <c r="H64" s="14">
        <v>293</v>
      </c>
      <c r="I64" s="14">
        <v>283</v>
      </c>
      <c r="J64" s="14">
        <v>286</v>
      </c>
      <c r="K64" s="14">
        <v>337</v>
      </c>
      <c r="L64" s="14">
        <v>278</v>
      </c>
      <c r="M64" s="14">
        <v>217</v>
      </c>
      <c r="N64" s="14">
        <v>252</v>
      </c>
      <c r="O64" s="14">
        <v>220</v>
      </c>
      <c r="P64" s="14">
        <v>95</v>
      </c>
      <c r="Q64" s="14">
        <v>100</v>
      </c>
      <c r="R64" s="14">
        <v>151</v>
      </c>
      <c r="S64" s="14">
        <v>110</v>
      </c>
      <c r="T64" s="14">
        <v>153</v>
      </c>
      <c r="U64" s="14">
        <v>126</v>
      </c>
      <c r="V64" s="14">
        <v>194</v>
      </c>
      <c r="W64" s="14">
        <v>70</v>
      </c>
      <c r="X64" s="14">
        <v>55</v>
      </c>
      <c r="Y64" s="14">
        <v>69</v>
      </c>
      <c r="Z64" s="14">
        <v>155</v>
      </c>
      <c r="AA64" s="13">
        <v>313</v>
      </c>
      <c r="AB64" s="13">
        <v>409</v>
      </c>
      <c r="AC64" s="13">
        <v>245</v>
      </c>
      <c r="AD64" s="13">
        <v>97</v>
      </c>
      <c r="AE64" s="13">
        <v>89</v>
      </c>
      <c r="AF64" s="13">
        <v>251</v>
      </c>
      <c r="AG64" s="13">
        <v>275</v>
      </c>
      <c r="AH64" s="13">
        <v>289</v>
      </c>
      <c r="AI64" s="13">
        <v>353</v>
      </c>
      <c r="AJ64" s="13">
        <v>482</v>
      </c>
      <c r="AK64" s="13">
        <v>327</v>
      </c>
      <c r="AL64" s="13">
        <v>307</v>
      </c>
      <c r="AM64" s="13">
        <v>350</v>
      </c>
      <c r="AN64" s="13">
        <v>287</v>
      </c>
      <c r="AO64" s="13">
        <v>301</v>
      </c>
      <c r="AP64" s="13">
        <v>389</v>
      </c>
      <c r="AQ64" s="13">
        <v>453</v>
      </c>
      <c r="AR64" s="13">
        <v>319</v>
      </c>
      <c r="AS64" s="13">
        <v>335</v>
      </c>
      <c r="AT64" s="13">
        <v>377</v>
      </c>
      <c r="AU64" s="13">
        <v>372</v>
      </c>
      <c r="AV64" s="13">
        <v>359</v>
      </c>
      <c r="AW64" s="13">
        <v>358</v>
      </c>
      <c r="AX64" s="13">
        <v>355</v>
      </c>
      <c r="AY64" s="63">
        <v>326</v>
      </c>
      <c r="AZ64" s="57">
        <v>423</v>
      </c>
      <c r="BA64" s="57">
        <v>308</v>
      </c>
      <c r="BB64" s="58">
        <v>328</v>
      </c>
      <c r="BC64" s="108">
        <v>301</v>
      </c>
      <c r="BD64" s="106">
        <v>300</v>
      </c>
      <c r="BE64" s="106">
        <v>319</v>
      </c>
      <c r="BF64" s="107">
        <v>300</v>
      </c>
      <c r="BG64" s="6"/>
      <c r="BH64" s="6"/>
      <c r="BI64" s="6"/>
    </row>
    <row r="65" spans="2:61" x14ac:dyDescent="0.25">
      <c r="B65" t="s">
        <v>56</v>
      </c>
      <c r="C65" s="14">
        <f>+C64+C63</f>
        <v>8031</v>
      </c>
      <c r="D65" s="14">
        <f t="shared" ref="D65:AZ65" si="70">+D64+D63</f>
        <v>8503</v>
      </c>
      <c r="E65" s="14">
        <f t="shared" si="70"/>
        <v>9003</v>
      </c>
      <c r="F65" s="14">
        <f t="shared" si="70"/>
        <v>9114</v>
      </c>
      <c r="G65" s="14">
        <f t="shared" si="70"/>
        <v>9268</v>
      </c>
      <c r="H65" s="14">
        <f t="shared" si="70"/>
        <v>8079</v>
      </c>
      <c r="I65" s="14">
        <f t="shared" si="70"/>
        <v>8163</v>
      </c>
      <c r="J65" s="14">
        <f t="shared" si="70"/>
        <v>8244</v>
      </c>
      <c r="K65" s="14">
        <f t="shared" si="70"/>
        <v>7803</v>
      </c>
      <c r="L65" s="14">
        <f t="shared" si="70"/>
        <v>8063</v>
      </c>
      <c r="M65" s="14">
        <f t="shared" si="70"/>
        <v>8293</v>
      </c>
      <c r="N65" s="14">
        <f t="shared" si="70"/>
        <v>8727</v>
      </c>
      <c r="O65" s="14">
        <f t="shared" si="70"/>
        <v>8223</v>
      </c>
      <c r="P65" s="14">
        <f t="shared" si="70"/>
        <v>7015</v>
      </c>
      <c r="Q65" s="14">
        <f t="shared" si="70"/>
        <v>6792</v>
      </c>
      <c r="R65" s="14">
        <f t="shared" si="70"/>
        <v>7857</v>
      </c>
      <c r="S65" s="14">
        <f t="shared" si="70"/>
        <v>6440</v>
      </c>
      <c r="T65" s="14">
        <f t="shared" si="70"/>
        <v>7340</v>
      </c>
      <c r="U65" s="14">
        <f t="shared" si="70"/>
        <v>7549</v>
      </c>
      <c r="V65" s="14">
        <f t="shared" si="70"/>
        <v>7172</v>
      </c>
      <c r="W65" s="14">
        <f t="shared" si="70"/>
        <v>6843</v>
      </c>
      <c r="X65" s="14">
        <f t="shared" si="70"/>
        <v>7141</v>
      </c>
      <c r="Y65" s="14">
        <f t="shared" si="70"/>
        <v>7319</v>
      </c>
      <c r="Z65" s="14">
        <f t="shared" si="70"/>
        <v>7179</v>
      </c>
      <c r="AA65" s="13">
        <f t="shared" si="70"/>
        <v>5458</v>
      </c>
      <c r="AB65" s="13">
        <f t="shared" si="70"/>
        <v>5577</v>
      </c>
      <c r="AC65" s="13">
        <f t="shared" si="70"/>
        <v>4871</v>
      </c>
      <c r="AD65" s="13">
        <f t="shared" si="70"/>
        <v>4717</v>
      </c>
      <c r="AE65" s="13">
        <f t="shared" si="70"/>
        <v>5406</v>
      </c>
      <c r="AF65" s="13">
        <f t="shared" si="70"/>
        <v>5004</v>
      </c>
      <c r="AG65" s="13">
        <f t="shared" si="70"/>
        <v>5024</v>
      </c>
      <c r="AH65" s="13">
        <f t="shared" si="70"/>
        <v>4887</v>
      </c>
      <c r="AI65" s="13">
        <f t="shared" si="70"/>
        <v>3344</v>
      </c>
      <c r="AJ65" s="13">
        <f t="shared" si="70"/>
        <v>4369</v>
      </c>
      <c r="AK65" s="13">
        <f t="shared" si="70"/>
        <v>4041</v>
      </c>
      <c r="AL65" s="13">
        <f t="shared" si="70"/>
        <v>3921</v>
      </c>
      <c r="AM65" s="13">
        <f t="shared" si="70"/>
        <v>3699</v>
      </c>
      <c r="AN65" s="13">
        <f t="shared" si="70"/>
        <v>4258</v>
      </c>
      <c r="AO65" s="13">
        <f t="shared" si="70"/>
        <v>4340</v>
      </c>
      <c r="AP65" s="13">
        <f t="shared" si="70"/>
        <v>4158</v>
      </c>
      <c r="AQ65" s="13">
        <f t="shared" si="70"/>
        <v>3622</v>
      </c>
      <c r="AR65" s="13">
        <f t="shared" si="70"/>
        <v>4370</v>
      </c>
      <c r="AS65" s="13">
        <f t="shared" si="70"/>
        <v>4418</v>
      </c>
      <c r="AT65" s="13">
        <f t="shared" si="70"/>
        <v>2940</v>
      </c>
      <c r="AU65" s="13">
        <f t="shared" si="70"/>
        <v>3517</v>
      </c>
      <c r="AV65" s="13">
        <f t="shared" si="70"/>
        <v>4301</v>
      </c>
      <c r="AW65" s="13">
        <f t="shared" si="70"/>
        <v>4044</v>
      </c>
      <c r="AX65" s="13">
        <f t="shared" si="70"/>
        <v>4115</v>
      </c>
      <c r="AY65" s="63">
        <f t="shared" si="70"/>
        <v>3895</v>
      </c>
      <c r="AZ65" s="64">
        <f t="shared" si="70"/>
        <v>4312</v>
      </c>
      <c r="BA65" s="64">
        <f t="shared" ref="BA65:BB65" si="71">+BA64+BA63</f>
        <v>4108</v>
      </c>
      <c r="BB65" s="65">
        <f t="shared" si="71"/>
        <v>4723</v>
      </c>
      <c r="BC65" s="112">
        <f t="shared" ref="BC65:BD65" si="72">+BC64+BC63</f>
        <v>2708</v>
      </c>
      <c r="BD65" s="113">
        <f t="shared" si="72"/>
        <v>3889</v>
      </c>
      <c r="BE65" s="113">
        <f t="shared" ref="BE65:BF65" si="73">+BE64+BE63</f>
        <v>3487</v>
      </c>
      <c r="BF65" s="114">
        <f t="shared" si="73"/>
        <v>3984</v>
      </c>
      <c r="BG65" s="6"/>
      <c r="BH65" s="6"/>
      <c r="BI65" s="6"/>
    </row>
    <row r="66" spans="2:61" x14ac:dyDescent="0.25">
      <c r="B66" s="8" t="s">
        <v>60</v>
      </c>
      <c r="C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2" t="s">
        <v>61</v>
      </c>
      <c r="AY66" s="63"/>
      <c r="AZ66" s="57"/>
      <c r="BA66" s="57"/>
      <c r="BB66" s="58"/>
      <c r="BC66" s="108"/>
      <c r="BD66" s="106"/>
      <c r="BE66" s="106"/>
      <c r="BF66" s="107"/>
      <c r="BG66" s="6"/>
      <c r="BH66" s="6"/>
      <c r="BI66" s="6"/>
    </row>
    <row r="67" spans="2:61" x14ac:dyDescent="0.25">
      <c r="B67" t="s">
        <v>54</v>
      </c>
      <c r="C67" s="14">
        <v>706</v>
      </c>
      <c r="D67" s="14">
        <v>644</v>
      </c>
      <c r="E67" s="14">
        <v>634</v>
      </c>
      <c r="F67" s="14">
        <v>620</v>
      </c>
      <c r="G67" s="14">
        <v>580</v>
      </c>
      <c r="H67" s="14">
        <v>592</v>
      </c>
      <c r="I67" s="14">
        <v>651</v>
      </c>
      <c r="J67" s="14">
        <v>685</v>
      </c>
      <c r="K67" s="14">
        <v>790</v>
      </c>
      <c r="L67" s="14">
        <v>731</v>
      </c>
      <c r="M67" s="14">
        <v>687</v>
      </c>
      <c r="N67" s="14">
        <v>678</v>
      </c>
      <c r="O67" s="14">
        <v>737</v>
      </c>
      <c r="P67" s="14">
        <v>741</v>
      </c>
      <c r="Q67" s="14">
        <v>805</v>
      </c>
      <c r="R67" s="14">
        <v>729</v>
      </c>
      <c r="S67" s="14">
        <v>827</v>
      </c>
      <c r="T67" s="14">
        <v>802</v>
      </c>
      <c r="U67" s="14">
        <v>711</v>
      </c>
      <c r="V67" s="14">
        <v>696</v>
      </c>
      <c r="W67" s="14">
        <v>748</v>
      </c>
      <c r="X67" s="14">
        <v>754</v>
      </c>
      <c r="Y67" s="14">
        <v>732</v>
      </c>
      <c r="Z67" s="14">
        <v>808</v>
      </c>
      <c r="AA67" s="13">
        <v>1206</v>
      </c>
      <c r="AB67" s="13">
        <v>970</v>
      </c>
      <c r="AC67" s="13">
        <v>1241</v>
      </c>
      <c r="AD67" s="13">
        <v>1233</v>
      </c>
      <c r="AE67" s="13">
        <v>1380</v>
      </c>
      <c r="AF67" s="13">
        <v>1178</v>
      </c>
      <c r="AG67" s="13">
        <v>1170</v>
      </c>
      <c r="AH67" s="13">
        <v>1378</v>
      </c>
      <c r="AI67" s="13">
        <v>1770</v>
      </c>
      <c r="AJ67" s="13">
        <v>1408</v>
      </c>
      <c r="AK67" s="13">
        <v>1512</v>
      </c>
      <c r="AL67" s="13">
        <v>1469</v>
      </c>
      <c r="AM67" s="13">
        <v>1534</v>
      </c>
      <c r="AN67" s="13">
        <v>1440</v>
      </c>
      <c r="AO67" s="13">
        <v>1502</v>
      </c>
      <c r="AP67" s="13">
        <v>1480</v>
      </c>
      <c r="AQ67" s="13">
        <v>1972</v>
      </c>
      <c r="AR67" s="13">
        <v>1799</v>
      </c>
      <c r="AS67" s="13">
        <v>1976</v>
      </c>
      <c r="AT67" s="13">
        <v>2234</v>
      </c>
      <c r="AU67" s="13">
        <v>2088</v>
      </c>
      <c r="AV67" s="13">
        <v>1888</v>
      </c>
      <c r="AW67" s="13">
        <v>2032</v>
      </c>
      <c r="AX67" s="13">
        <v>1962</v>
      </c>
      <c r="AY67" s="63">
        <v>2031</v>
      </c>
      <c r="AZ67" s="57">
        <v>2017</v>
      </c>
      <c r="BA67" s="57">
        <v>2186</v>
      </c>
      <c r="BB67" s="58">
        <v>2013</v>
      </c>
      <c r="BC67" s="108">
        <v>2436</v>
      </c>
      <c r="BD67" s="106">
        <v>2247</v>
      </c>
      <c r="BE67" s="106">
        <v>2383</v>
      </c>
      <c r="BF67" s="107">
        <v>2002</v>
      </c>
      <c r="BG67" s="6"/>
      <c r="BH67" s="6"/>
      <c r="BI67" s="6"/>
    </row>
    <row r="68" spans="2:61" x14ac:dyDescent="0.25">
      <c r="B68" t="s">
        <v>55</v>
      </c>
      <c r="C68" s="14">
        <v>55</v>
      </c>
      <c r="D68" s="14">
        <v>41</v>
      </c>
      <c r="E68" s="14">
        <v>59</v>
      </c>
      <c r="F68" s="14">
        <v>72</v>
      </c>
      <c r="G68" s="14">
        <v>71</v>
      </c>
      <c r="H68" s="14">
        <v>63</v>
      </c>
      <c r="I68" s="14">
        <v>65</v>
      </c>
      <c r="J68" s="14">
        <v>56</v>
      </c>
      <c r="K68" s="14">
        <v>59</v>
      </c>
      <c r="L68" s="14">
        <v>55</v>
      </c>
      <c r="M68" s="14">
        <v>66</v>
      </c>
      <c r="N68" s="14">
        <v>66</v>
      </c>
      <c r="O68" s="14">
        <v>63</v>
      </c>
      <c r="P68" s="14">
        <v>106</v>
      </c>
      <c r="Q68" s="14">
        <v>70</v>
      </c>
      <c r="R68" s="14">
        <v>103</v>
      </c>
      <c r="S68" s="14">
        <v>79</v>
      </c>
      <c r="T68" s="14">
        <v>24</v>
      </c>
      <c r="U68" s="14">
        <v>72</v>
      </c>
      <c r="V68" s="14">
        <v>86</v>
      </c>
      <c r="W68" s="14">
        <v>101</v>
      </c>
      <c r="X68" s="14">
        <v>79</v>
      </c>
      <c r="Y68" s="14">
        <v>72</v>
      </c>
      <c r="Z68" s="14">
        <v>64</v>
      </c>
      <c r="AA68" s="13">
        <v>63</v>
      </c>
      <c r="AB68" s="13">
        <v>59</v>
      </c>
      <c r="AC68" s="13">
        <v>100</v>
      </c>
      <c r="AD68" s="13">
        <v>103</v>
      </c>
      <c r="AE68" s="13">
        <v>92</v>
      </c>
      <c r="AF68" s="13">
        <v>45</v>
      </c>
      <c r="AG68" s="13">
        <v>43</v>
      </c>
      <c r="AH68" s="13">
        <v>43</v>
      </c>
      <c r="AI68" s="13">
        <v>47</v>
      </c>
      <c r="AJ68" s="13">
        <v>70</v>
      </c>
      <c r="AK68" s="13">
        <v>72</v>
      </c>
      <c r="AL68" s="13">
        <v>53</v>
      </c>
      <c r="AM68" s="13">
        <v>86</v>
      </c>
      <c r="AN68" s="13">
        <v>102</v>
      </c>
      <c r="AO68" s="13">
        <v>81</v>
      </c>
      <c r="AP68" s="13">
        <v>114</v>
      </c>
      <c r="AQ68" s="13">
        <v>128</v>
      </c>
      <c r="AR68" s="13">
        <v>144</v>
      </c>
      <c r="AS68" s="13">
        <v>175</v>
      </c>
      <c r="AT68" s="13">
        <v>191</v>
      </c>
      <c r="AU68" s="13">
        <v>140</v>
      </c>
      <c r="AV68" s="13">
        <v>162</v>
      </c>
      <c r="AW68" s="13">
        <v>153</v>
      </c>
      <c r="AX68" s="13">
        <v>130</v>
      </c>
      <c r="AY68" s="63">
        <v>147</v>
      </c>
      <c r="AZ68" s="57">
        <v>142</v>
      </c>
      <c r="BA68" s="57">
        <v>186</v>
      </c>
      <c r="BB68" s="58">
        <v>156</v>
      </c>
      <c r="BC68" s="108">
        <v>164</v>
      </c>
      <c r="BD68" s="106">
        <v>162</v>
      </c>
      <c r="BE68" s="106">
        <v>163</v>
      </c>
      <c r="BF68" s="107">
        <v>156</v>
      </c>
      <c r="BG68" s="6"/>
      <c r="BH68" s="6"/>
      <c r="BI68" s="6"/>
    </row>
    <row r="69" spans="2:61" x14ac:dyDescent="0.25">
      <c r="B69" t="s">
        <v>56</v>
      </c>
      <c r="C69" s="14">
        <f>+((C67*C55)+(C68*C56))/(C57)-13</f>
        <v>466.79512635379064</v>
      </c>
      <c r="D69" s="14">
        <f>+((D67*D55)+(D68*D56))/(D57)-13</f>
        <v>425.89125102207686</v>
      </c>
      <c r="E69" s="14">
        <f t="shared" ref="E69:G69" si="74">+((E67*E55)+(E68*E56))/(E57)</f>
        <v>493.51134380453755</v>
      </c>
      <c r="F69" s="14">
        <f t="shared" si="74"/>
        <v>489.63272120200332</v>
      </c>
      <c r="G69" s="14">
        <f t="shared" si="74"/>
        <v>472.1924009700889</v>
      </c>
      <c r="H69" s="14">
        <f>+((H67*H55)+(H68*H56))/(H57)+1</f>
        <v>473.48050914876688</v>
      </c>
      <c r="I69" s="14">
        <f>+((I67*I55)+(I68*I56))/(I57)+1</f>
        <v>521.36006415396957</v>
      </c>
      <c r="J69" s="14">
        <f t="shared" ref="J69:K69" si="75">+((J67*J55)+(J68*J56))/(J57)</f>
        <v>507.17523364485982</v>
      </c>
      <c r="K69" s="14">
        <f t="shared" si="75"/>
        <v>502.24694376528117</v>
      </c>
      <c r="L69" s="14">
        <f>+((L67*L55)+(L68*L56))/(L57)+1</f>
        <v>507.40244897959184</v>
      </c>
      <c r="M69" s="14">
        <f t="shared" ref="M69:Q69" si="76">+((M67*M55)+(M68*M56))/(M57)</f>
        <v>504.99126290706909</v>
      </c>
      <c r="N69" s="14">
        <f t="shared" si="76"/>
        <v>509.04</v>
      </c>
      <c r="O69" s="14">
        <f t="shared" si="76"/>
        <v>519.7054963084496</v>
      </c>
      <c r="P69" s="14">
        <f t="shared" si="76"/>
        <v>691.72062084257209</v>
      </c>
      <c r="Q69" s="14">
        <f t="shared" si="76"/>
        <v>714.28</v>
      </c>
      <c r="R69" s="14">
        <f>+((R67*R55)+(R68*R56))/(R57)-1</f>
        <v>681.87368421052633</v>
      </c>
      <c r="S69" s="14">
        <f t="shared" ref="S69:T69" si="77">+((S67*S55)+(S68*S56))/(S57)</f>
        <v>724.79976442873965</v>
      </c>
      <c r="T69" s="14">
        <f t="shared" si="77"/>
        <v>671.81048387096769</v>
      </c>
      <c r="U69" s="14">
        <f>+((U67*U55)+(U68*U56))/(U57)-1</f>
        <v>619.81854838709683</v>
      </c>
      <c r="V69" s="14">
        <f t="shared" ref="V69:AR69" si="78">+((V67*V55)+(V68*V56))/(V57)</f>
        <v>638.46450304259633</v>
      </c>
      <c r="W69" s="14">
        <f t="shared" si="78"/>
        <v>699.47500000000002</v>
      </c>
      <c r="X69" s="14">
        <f t="shared" si="78"/>
        <v>695.99785177228785</v>
      </c>
      <c r="Y69" s="14">
        <f t="shared" si="78"/>
        <v>664.93762575452718</v>
      </c>
      <c r="Z69" s="14">
        <f t="shared" si="78"/>
        <v>683.26190476190482</v>
      </c>
      <c r="AA69" s="13">
        <f t="shared" si="78"/>
        <v>800.00866336633658</v>
      </c>
      <c r="AB69" s="13">
        <f t="shared" si="78"/>
        <v>607.35345581802278</v>
      </c>
      <c r="AC69" s="13">
        <f t="shared" si="78"/>
        <v>808.57157569515959</v>
      </c>
      <c r="AD69" s="13">
        <f t="shared" si="78"/>
        <v>1006.4114583333334</v>
      </c>
      <c r="AE69" s="13">
        <f t="shared" si="78"/>
        <v>1107.0711175616836</v>
      </c>
      <c r="AF69" s="13">
        <f t="shared" si="78"/>
        <v>856.28395061728395</v>
      </c>
      <c r="AG69" s="13">
        <f t="shared" si="78"/>
        <v>814.90297790585976</v>
      </c>
      <c r="AH69" s="13">
        <f t="shared" si="78"/>
        <v>804.43522833178008</v>
      </c>
      <c r="AI69" s="13">
        <f t="shared" si="78"/>
        <v>807.93579766536971</v>
      </c>
      <c r="AJ69" s="13">
        <f t="shared" si="78"/>
        <v>762.70700086430429</v>
      </c>
      <c r="AK69" s="13">
        <f t="shared" si="78"/>
        <v>823.24773960216999</v>
      </c>
      <c r="AL69" s="13">
        <f t="shared" si="78"/>
        <v>828.20230105465009</v>
      </c>
      <c r="AM69" s="13">
        <f t="shared" si="78"/>
        <v>745.67485822306242</v>
      </c>
      <c r="AN69" s="13">
        <f t="shared" si="78"/>
        <v>787.06518010291597</v>
      </c>
      <c r="AO69" s="13">
        <f t="shared" si="78"/>
        <v>759.70382424735556</v>
      </c>
      <c r="AP69" s="13">
        <f t="shared" si="78"/>
        <v>719.87814784727868</v>
      </c>
      <c r="AQ69" s="13">
        <f t="shared" si="78"/>
        <v>823.17168141592924</v>
      </c>
      <c r="AR69" s="13">
        <f t="shared" si="78"/>
        <v>911.02590194264565</v>
      </c>
      <c r="AS69" s="13">
        <f>+((AS67*AS55)+(AS68*AS56))/(AS57)+1</f>
        <v>1036.2052529182879</v>
      </c>
      <c r="AT69" s="13">
        <f>+((AT67*AT55)+(AT68*AT56))/(AT57)</f>
        <v>1119.1957295373666</v>
      </c>
      <c r="AU69" s="13">
        <f t="shared" ref="AU69:AV69" si="79">+((AU67*AU55)+(AU68*AU56))/(AU57)</f>
        <v>1002.7138523761375</v>
      </c>
      <c r="AV69" s="13">
        <f t="shared" si="79"/>
        <v>1019.8630952380952</v>
      </c>
      <c r="AW69" s="13">
        <f>+((AW67*AW55)+(AW68*AW56))/(AW57)+1</f>
        <v>979.46648550724638</v>
      </c>
      <c r="AX69" s="13">
        <f>+((AX67*AX55)+(AX68*AX56))/(AX57)</f>
        <v>903.94652406417117</v>
      </c>
      <c r="AY69" s="63">
        <f>+((AY67*AY55)+(AY68*AY56))/(AY57)-1</f>
        <v>872.70858113848772</v>
      </c>
      <c r="AZ69" s="64">
        <f>+((AZ67*AZ55)+(AZ68*AZ56))/(AZ57)</f>
        <v>841.41597588545596</v>
      </c>
      <c r="BA69" s="64">
        <f>+((BA67*BA55)+(BA68*BA56))/(BA57)</f>
        <v>1112.9662921348315</v>
      </c>
      <c r="BB69" s="65">
        <f>+((BB67*BB55)+(BB68*BB56))/(BB57)-1</f>
        <v>1080.9232192414431</v>
      </c>
      <c r="BC69" s="112">
        <f>+((BC67*BC55)+(BC68*BC56))/(BC57)-1</f>
        <v>1190.5126234906695</v>
      </c>
      <c r="BD69" s="113">
        <f>+((BD67*BD55)+(BD68*BD56))/(BD57)</f>
        <v>1204.5</v>
      </c>
      <c r="BE69" s="113">
        <f>+((BE67*BE55)+(BE68*BE56))/(BE57)</f>
        <v>1278.5778894472362</v>
      </c>
      <c r="BF69" s="114">
        <f>+((BF67*BF55)+(BF68*BF56))/(BF57)</f>
        <v>1133.5999999999999</v>
      </c>
      <c r="BG69" s="6"/>
      <c r="BH69" s="6"/>
      <c r="BI69" s="6"/>
    </row>
    <row r="70" spans="2:61" x14ac:dyDescent="0.25">
      <c r="B70" s="8" t="s">
        <v>62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63"/>
      <c r="AZ70" s="57"/>
      <c r="BA70" s="57"/>
      <c r="BB70" s="58"/>
      <c r="BC70" s="108"/>
      <c r="BD70" s="106"/>
      <c r="BE70" s="106"/>
      <c r="BF70" s="107"/>
      <c r="BG70" s="6"/>
      <c r="BH70" s="6"/>
      <c r="BI70" s="6"/>
    </row>
    <row r="71" spans="2:61" x14ac:dyDescent="0.25">
      <c r="B71" t="s">
        <v>63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7" t="s">
        <v>64</v>
      </c>
      <c r="N71" s="16"/>
      <c r="O71" s="16"/>
      <c r="P71" s="16"/>
      <c r="Q71" s="16"/>
      <c r="R71" s="16"/>
      <c r="S71" s="16"/>
      <c r="T71" s="18"/>
      <c r="U71" s="22">
        <f>183.7-U72-U73</f>
        <v>87.899999999999991</v>
      </c>
      <c r="V71" s="22">
        <f>190.7-V72-V73</f>
        <v>96.199999999999989</v>
      </c>
      <c r="W71" s="22">
        <f>192.5-W72-W73</f>
        <v>96.5</v>
      </c>
      <c r="X71" s="22">
        <f>208.9-X72-X73</f>
        <v>92.9</v>
      </c>
      <c r="Y71" s="22">
        <f>217.5-Y72-Y73</f>
        <v>120.9</v>
      </c>
      <c r="Z71" s="22">
        <f>225.8-Z72-Z73</f>
        <v>121.70000000000002</v>
      </c>
      <c r="AA71" s="21">
        <f>212-AA72-AA73</f>
        <v>136.4</v>
      </c>
      <c r="AB71" s="21">
        <f>242.4-AB72-AB73</f>
        <v>139.5</v>
      </c>
      <c r="AC71" s="21">
        <f>238.2-AC72-AC73</f>
        <v>143.39999999999998</v>
      </c>
      <c r="AD71" s="21">
        <f>250.7-AD72-AD73</f>
        <v>126.39999999999999</v>
      </c>
      <c r="AE71" s="21">
        <f>224.3-AE72-AE73</f>
        <v>119.9</v>
      </c>
      <c r="AF71" s="21">
        <f>245.4-AF72-AF73</f>
        <v>149.10000000000002</v>
      </c>
      <c r="AG71" s="21">
        <f>244.3-AG72-AG73</f>
        <v>173.60000000000002</v>
      </c>
      <c r="AH71" s="21">
        <f>279.9-AH72-AH73</f>
        <v>175.7</v>
      </c>
      <c r="AI71" s="21">
        <f>264.6-AI72-AI73</f>
        <v>174.40000000000003</v>
      </c>
      <c r="AJ71" s="21">
        <f>315.6-AJ72-AJ73</f>
        <v>198.3</v>
      </c>
      <c r="AK71" s="21">
        <f>335.9-AK72-AK73</f>
        <v>180.2</v>
      </c>
      <c r="AL71" s="21">
        <v>188.2</v>
      </c>
      <c r="AM71" s="21">
        <v>182</v>
      </c>
      <c r="AN71" s="21">
        <v>196.6</v>
      </c>
      <c r="AO71" s="21">
        <v>200.7</v>
      </c>
      <c r="AP71" s="21">
        <v>203.5</v>
      </c>
      <c r="AQ71" s="21">
        <v>191.8</v>
      </c>
      <c r="AR71" s="21">
        <v>223.7</v>
      </c>
      <c r="AS71" s="21">
        <v>230.1</v>
      </c>
      <c r="AT71" s="21">
        <v>185.2</v>
      </c>
      <c r="AU71" s="21">
        <v>201</v>
      </c>
      <c r="AV71" s="21">
        <v>217.1</v>
      </c>
      <c r="AW71" s="21">
        <v>206.5</v>
      </c>
      <c r="AX71" s="21">
        <v>219.2</v>
      </c>
      <c r="AY71" s="66">
        <v>203.1</v>
      </c>
      <c r="AZ71" s="67">
        <v>226.2</v>
      </c>
      <c r="BA71" s="67">
        <v>223.5</v>
      </c>
      <c r="BB71" s="68">
        <v>227</v>
      </c>
      <c r="BC71" s="100">
        <v>214.5</v>
      </c>
      <c r="BD71" s="101">
        <v>203.6</v>
      </c>
      <c r="BE71" s="101">
        <v>231.5</v>
      </c>
      <c r="BF71" s="102">
        <v>191</v>
      </c>
      <c r="BG71" s="6"/>
      <c r="BH71" s="6"/>
      <c r="BI71" s="6"/>
    </row>
    <row r="72" spans="2:61" x14ac:dyDescent="0.25">
      <c r="B72" t="s">
        <v>65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19" t="s">
        <v>66</v>
      </c>
      <c r="S72" s="19"/>
      <c r="T72" s="19"/>
      <c r="U72" s="19">
        <v>95.8</v>
      </c>
      <c r="V72" s="19">
        <v>94.5</v>
      </c>
      <c r="W72" s="19">
        <v>96</v>
      </c>
      <c r="X72" s="19">
        <v>116</v>
      </c>
      <c r="Y72" s="19">
        <v>96.6</v>
      </c>
      <c r="Z72" s="19">
        <v>104.1</v>
      </c>
      <c r="AA72" s="20">
        <v>75.599999999999994</v>
      </c>
      <c r="AB72" s="20">
        <f>136.1-33.2</f>
        <v>102.89999999999999</v>
      </c>
      <c r="AC72" s="20">
        <v>94.8</v>
      </c>
      <c r="AD72" s="20">
        <v>124.3</v>
      </c>
      <c r="AE72" s="20">
        <v>104.4</v>
      </c>
      <c r="AF72" s="20">
        <f>131.1-34.8</f>
        <v>96.3</v>
      </c>
      <c r="AG72" s="20">
        <v>70.7</v>
      </c>
      <c r="AH72" s="20">
        <v>104.2</v>
      </c>
      <c r="AI72" s="20">
        <v>90.2</v>
      </c>
      <c r="AJ72" s="20">
        <f>115.7+1.6</f>
        <v>117.3</v>
      </c>
      <c r="AK72" s="20">
        <v>155.69999999999999</v>
      </c>
      <c r="AL72" s="21">
        <v>117.2</v>
      </c>
      <c r="AM72" s="21">
        <v>26.5</v>
      </c>
      <c r="AN72" s="21">
        <v>67.099999999999994</v>
      </c>
      <c r="AO72" s="21">
        <v>57.9</v>
      </c>
      <c r="AP72" s="21">
        <v>117.4</v>
      </c>
      <c r="AQ72" s="21">
        <v>59.2</v>
      </c>
      <c r="AR72" s="21">
        <v>131.80000000000001</v>
      </c>
      <c r="AS72" s="21">
        <v>110.7</v>
      </c>
      <c r="AT72" s="21">
        <v>202.8</v>
      </c>
      <c r="AU72" s="21">
        <v>100.9</v>
      </c>
      <c r="AV72" s="21">
        <v>130.19999999999999</v>
      </c>
      <c r="AW72" s="21">
        <v>122</v>
      </c>
      <c r="AX72" s="21">
        <v>106.7</v>
      </c>
      <c r="AY72" s="66">
        <v>59.9</v>
      </c>
      <c r="AZ72" s="67">
        <v>66.7</v>
      </c>
      <c r="BA72" s="67">
        <v>66.8</v>
      </c>
      <c r="BB72" s="68">
        <v>162.30000000000001</v>
      </c>
      <c r="BC72" s="100">
        <v>39.1</v>
      </c>
      <c r="BD72" s="101">
        <v>72.099999999999994</v>
      </c>
      <c r="BE72" s="101">
        <v>41.6</v>
      </c>
      <c r="BF72" s="102">
        <v>72.8</v>
      </c>
      <c r="BG72" s="6"/>
      <c r="BH72" s="6"/>
      <c r="BI72" s="6"/>
    </row>
    <row r="73" spans="2:61" x14ac:dyDescent="0.25">
      <c r="B73" t="s">
        <v>67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1"/>
      <c r="AB73" s="21"/>
      <c r="AC73" s="21"/>
      <c r="AD73" s="21"/>
      <c r="AE73" s="21"/>
      <c r="AF73" s="21"/>
      <c r="AG73" s="21"/>
      <c r="AH73" s="21"/>
      <c r="AI73" s="21"/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66">
        <v>0</v>
      </c>
      <c r="AZ73" s="69">
        <v>0</v>
      </c>
      <c r="BA73" s="69">
        <v>0</v>
      </c>
      <c r="BB73" s="70">
        <v>0</v>
      </c>
      <c r="BC73" s="115">
        <v>0</v>
      </c>
      <c r="BD73" s="116">
        <v>1.9</v>
      </c>
      <c r="BE73" s="116">
        <v>22.1</v>
      </c>
      <c r="BF73" s="117">
        <v>39.700000000000003</v>
      </c>
      <c r="BG73" s="6"/>
      <c r="BH73" s="6"/>
      <c r="BI73" s="6"/>
    </row>
    <row r="74" spans="2:61" x14ac:dyDescent="0.25">
      <c r="B74" t="s">
        <v>68</v>
      </c>
      <c r="C74" s="22">
        <v>63.4</v>
      </c>
      <c r="D74" s="22">
        <v>88.1</v>
      </c>
      <c r="E74" s="22">
        <v>97.1</v>
      </c>
      <c r="F74" s="22">
        <v>109.2</v>
      </c>
      <c r="G74" s="22">
        <v>99.8</v>
      </c>
      <c r="H74" s="22">
        <v>113.6</v>
      </c>
      <c r="I74" s="22">
        <v>123.7</v>
      </c>
      <c r="J74" s="22">
        <v>87.4</v>
      </c>
      <c r="K74" s="22">
        <v>56.9</v>
      </c>
      <c r="L74" s="22">
        <v>76.400000000000006</v>
      </c>
      <c r="M74" s="22">
        <v>58.5</v>
      </c>
      <c r="N74" s="22">
        <v>63.2</v>
      </c>
      <c r="O74" s="22">
        <v>60.5</v>
      </c>
      <c r="P74" s="22">
        <v>47.9</v>
      </c>
      <c r="Q74" s="22">
        <v>42.7</v>
      </c>
      <c r="R74" s="22">
        <v>53.4</v>
      </c>
      <c r="S74" s="22">
        <v>45.8</v>
      </c>
      <c r="T74" s="22">
        <v>66.099999999999994</v>
      </c>
      <c r="U74" s="22">
        <f t="shared" ref="U74:AU74" si="80">+U73+U72+U71</f>
        <v>183.7</v>
      </c>
      <c r="V74" s="22">
        <f t="shared" si="80"/>
        <v>190.7</v>
      </c>
      <c r="W74" s="22">
        <f t="shared" si="80"/>
        <v>192.5</v>
      </c>
      <c r="X74" s="22">
        <f t="shared" si="80"/>
        <v>208.9</v>
      </c>
      <c r="Y74" s="22">
        <f t="shared" si="80"/>
        <v>217.5</v>
      </c>
      <c r="Z74" s="22">
        <f t="shared" si="80"/>
        <v>225.8</v>
      </c>
      <c r="AA74" s="21">
        <f t="shared" si="80"/>
        <v>212</v>
      </c>
      <c r="AB74" s="21">
        <f t="shared" si="80"/>
        <v>242.39999999999998</v>
      </c>
      <c r="AC74" s="21">
        <f t="shared" si="80"/>
        <v>238.2</v>
      </c>
      <c r="AD74" s="21">
        <f t="shared" si="80"/>
        <v>250.7</v>
      </c>
      <c r="AE74" s="21">
        <f t="shared" si="80"/>
        <v>224.3</v>
      </c>
      <c r="AF74" s="21">
        <f t="shared" si="80"/>
        <v>245.40000000000003</v>
      </c>
      <c r="AG74" s="21">
        <f t="shared" si="80"/>
        <v>244.3</v>
      </c>
      <c r="AH74" s="21">
        <f t="shared" si="80"/>
        <v>279.89999999999998</v>
      </c>
      <c r="AI74" s="21">
        <f t="shared" si="80"/>
        <v>264.60000000000002</v>
      </c>
      <c r="AJ74" s="21">
        <f t="shared" si="80"/>
        <v>315.60000000000002</v>
      </c>
      <c r="AK74" s="21">
        <f t="shared" si="80"/>
        <v>335.9</v>
      </c>
      <c r="AL74" s="21">
        <f t="shared" si="80"/>
        <v>305.39999999999998</v>
      </c>
      <c r="AM74" s="21">
        <f t="shared" si="80"/>
        <v>208.5</v>
      </c>
      <c r="AN74" s="21">
        <f t="shared" si="80"/>
        <v>263.7</v>
      </c>
      <c r="AO74" s="21">
        <f t="shared" si="80"/>
        <v>258.59999999999997</v>
      </c>
      <c r="AP74" s="21">
        <f t="shared" si="80"/>
        <v>320.89999999999998</v>
      </c>
      <c r="AQ74" s="21">
        <f t="shared" si="80"/>
        <v>251</v>
      </c>
      <c r="AR74" s="21">
        <f t="shared" si="80"/>
        <v>355.5</v>
      </c>
      <c r="AS74" s="21">
        <f t="shared" si="80"/>
        <v>340.8</v>
      </c>
      <c r="AT74" s="21">
        <f t="shared" si="80"/>
        <v>388</v>
      </c>
      <c r="AU74" s="21">
        <f t="shared" si="80"/>
        <v>301.89999999999998</v>
      </c>
      <c r="AV74" s="21">
        <f t="shared" ref="AV74:BA74" si="81">+AV73+AV72+AV71</f>
        <v>347.29999999999995</v>
      </c>
      <c r="AW74" s="21">
        <f t="shared" si="81"/>
        <v>328.5</v>
      </c>
      <c r="AX74" s="21">
        <f t="shared" si="81"/>
        <v>325.89999999999998</v>
      </c>
      <c r="AY74" s="66">
        <f t="shared" si="81"/>
        <v>263</v>
      </c>
      <c r="AZ74" s="69">
        <f t="shared" si="81"/>
        <v>292.89999999999998</v>
      </c>
      <c r="BA74" s="69">
        <f t="shared" si="81"/>
        <v>290.3</v>
      </c>
      <c r="BB74" s="70">
        <f t="shared" ref="BB74:BC74" si="82">+BB73+BB72+BB71</f>
        <v>389.3</v>
      </c>
      <c r="BC74" s="115">
        <f t="shared" si="82"/>
        <v>253.6</v>
      </c>
      <c r="BD74" s="116">
        <f t="shared" ref="BD74:BE74" si="83">+BD73+BD72+BD71</f>
        <v>277.60000000000002</v>
      </c>
      <c r="BE74" s="116">
        <f t="shared" si="83"/>
        <v>295.2</v>
      </c>
      <c r="BF74" s="117">
        <f t="shared" ref="BF74" si="84">+BF73+BF72+BF71</f>
        <v>303.5</v>
      </c>
      <c r="BG74" s="6"/>
      <c r="BH74" s="6"/>
      <c r="BI74" s="6"/>
    </row>
    <row r="75" spans="2:61" x14ac:dyDescent="0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66"/>
      <c r="AZ75" s="57"/>
      <c r="BA75" s="57"/>
      <c r="BB75" s="58"/>
      <c r="BC75" s="108"/>
      <c r="BD75" s="106"/>
      <c r="BE75" s="106"/>
      <c r="BF75" s="107"/>
      <c r="BG75" s="6"/>
      <c r="BH75" s="6"/>
      <c r="BI75" s="6"/>
    </row>
    <row r="76" spans="2:61" x14ac:dyDescent="0.25">
      <c r="B76" s="24" t="s">
        <v>69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25" t="s">
        <v>70</v>
      </c>
      <c r="V76" s="25"/>
      <c r="W76" s="25"/>
      <c r="X76" s="14"/>
      <c r="Y76" s="14"/>
      <c r="Z76" s="14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63"/>
      <c r="AZ76" s="57"/>
      <c r="BA76" s="57"/>
      <c r="BB76" s="58"/>
      <c r="BC76" s="108"/>
      <c r="BD76" s="106"/>
      <c r="BE76" s="106"/>
      <c r="BF76" s="107"/>
      <c r="BG76" s="6"/>
      <c r="BH76" s="6"/>
      <c r="BI76" s="6"/>
    </row>
    <row r="77" spans="2:61" x14ac:dyDescent="0.25">
      <c r="B77" s="11" t="s">
        <v>71</v>
      </c>
      <c r="C77" s="22">
        <v>812.5</v>
      </c>
      <c r="D77" s="22">
        <v>815.3</v>
      </c>
      <c r="E77" s="22">
        <v>949.4</v>
      </c>
      <c r="F77" s="22">
        <v>915.8</v>
      </c>
      <c r="G77" s="22">
        <v>882</v>
      </c>
      <c r="H77" s="22">
        <v>700.1</v>
      </c>
      <c r="I77" s="22">
        <v>704</v>
      </c>
      <c r="J77" s="22">
        <v>701.6</v>
      </c>
      <c r="K77" s="22">
        <v>691.6</v>
      </c>
      <c r="L77" s="22">
        <v>669.5</v>
      </c>
      <c r="M77" s="22">
        <v>677.9</v>
      </c>
      <c r="N77" s="22">
        <v>737.7</v>
      </c>
      <c r="O77" s="22">
        <v>674.2</v>
      </c>
      <c r="P77" s="22">
        <v>620.20000000000005</v>
      </c>
      <c r="Q77" s="22">
        <v>621</v>
      </c>
      <c r="R77" s="22">
        <v>793.3</v>
      </c>
      <c r="S77" s="22">
        <v>703.4</v>
      </c>
      <c r="T77" s="22">
        <v>949.5</v>
      </c>
      <c r="U77" s="22">
        <v>1070.5999999999999</v>
      </c>
      <c r="V77" s="22">
        <v>1035.8</v>
      </c>
      <c r="W77" s="22">
        <v>1033.4000000000001</v>
      </c>
      <c r="X77" s="22">
        <v>1086.8</v>
      </c>
      <c r="Y77" s="22">
        <v>1133.9000000000001</v>
      </c>
      <c r="Z77" s="22">
        <v>1216.9000000000001</v>
      </c>
      <c r="AA77" s="21">
        <v>1201.5</v>
      </c>
      <c r="AB77" s="21">
        <v>1252.5</v>
      </c>
      <c r="AC77" s="21">
        <v>1059.5</v>
      </c>
      <c r="AD77" s="21">
        <v>1198.3</v>
      </c>
      <c r="AE77" s="21">
        <v>1556.6</v>
      </c>
      <c r="AF77" s="21">
        <v>1251.9000000000001</v>
      </c>
      <c r="AG77" s="21">
        <v>1208.8</v>
      </c>
      <c r="AH77" s="21">
        <v>1285.2</v>
      </c>
      <c r="AI77" s="21">
        <v>891.1</v>
      </c>
      <c r="AJ77" s="21">
        <v>1263</v>
      </c>
      <c r="AK77" s="21">
        <v>1163</v>
      </c>
      <c r="AL77" s="21">
        <v>1185.5</v>
      </c>
      <c r="AM77" s="21">
        <v>1154.3</v>
      </c>
      <c r="AN77" s="21">
        <v>1396.8</v>
      </c>
      <c r="AO77" s="21">
        <v>1690.9</v>
      </c>
      <c r="AP77" s="21">
        <v>1821.8</v>
      </c>
      <c r="AQ77" s="21">
        <v>1512.1</v>
      </c>
      <c r="AR77" s="21">
        <v>1841.9</v>
      </c>
      <c r="AS77" s="21">
        <v>1926.6</v>
      </c>
      <c r="AT77" s="21">
        <v>1413.3</v>
      </c>
      <c r="AU77" s="21">
        <v>1654.3</v>
      </c>
      <c r="AV77" s="21">
        <v>1873.6</v>
      </c>
      <c r="AW77" s="21">
        <v>1717.7</v>
      </c>
      <c r="AX77" s="21">
        <v>1708.8</v>
      </c>
      <c r="AY77" s="66">
        <v>1759</v>
      </c>
      <c r="AZ77" s="69">
        <f>3635.1-AY77</f>
        <v>1876.1</v>
      </c>
      <c r="BA77" s="69">
        <v>1818.6</v>
      </c>
      <c r="BB77" s="70">
        <v>2049.1</v>
      </c>
      <c r="BC77" s="115">
        <v>1243.9000000000001</v>
      </c>
      <c r="BD77" s="116">
        <f>3041.2-BC77</f>
        <v>1797.2999999999997</v>
      </c>
      <c r="BE77" s="116">
        <v>1636.5</v>
      </c>
      <c r="BF77" s="117">
        <v>2013.7</v>
      </c>
      <c r="BG77" s="6"/>
      <c r="BH77" s="6"/>
      <c r="BI77" s="6"/>
    </row>
    <row r="78" spans="2:61" x14ac:dyDescent="0.25">
      <c r="B78" s="11" t="s">
        <v>72</v>
      </c>
      <c r="C78" s="26">
        <v>-488.6</v>
      </c>
      <c r="D78" s="26">
        <f>-489.9+4.3</f>
        <v>-485.59999999999997</v>
      </c>
      <c r="E78" s="26">
        <f>-565.6-4.3</f>
        <v>-569.9</v>
      </c>
      <c r="F78" s="26">
        <v>-586.5</v>
      </c>
      <c r="G78" s="26">
        <v>-584</v>
      </c>
      <c r="H78" s="26">
        <v>-594.20000000000005</v>
      </c>
      <c r="I78" s="26">
        <v>-649.20000000000005</v>
      </c>
      <c r="J78" s="26">
        <v>-651.6</v>
      </c>
      <c r="K78" s="26">
        <v>-616.5</v>
      </c>
      <c r="L78" s="26">
        <v>-620.70000000000005</v>
      </c>
      <c r="M78" s="26">
        <v>-636</v>
      </c>
      <c r="N78" s="26">
        <v>-649.4</v>
      </c>
      <c r="O78" s="26">
        <v>-633.70000000000005</v>
      </c>
      <c r="P78" s="26">
        <v>-624.20000000000005</v>
      </c>
      <c r="Q78" s="26">
        <v>-624.70000000000005</v>
      </c>
      <c r="R78" s="26">
        <v>-648.29999999999995</v>
      </c>
      <c r="S78" s="26">
        <v>-615.6</v>
      </c>
      <c r="T78" s="26">
        <v>-666.7</v>
      </c>
      <c r="U78" s="26">
        <v>-615.5</v>
      </c>
      <c r="V78" s="26">
        <v>-629.1</v>
      </c>
      <c r="W78" s="26">
        <v>-643.5</v>
      </c>
      <c r="X78" s="26">
        <v>-648</v>
      </c>
      <c r="Y78" s="26">
        <v>-660.6</v>
      </c>
      <c r="Z78" s="26">
        <v>-688.7</v>
      </c>
      <c r="AA78" s="27">
        <v>-646.5</v>
      </c>
      <c r="AB78" s="27">
        <v>-694.2</v>
      </c>
      <c r="AC78" s="27">
        <v>-785.4</v>
      </c>
      <c r="AD78" s="27">
        <v>-772.8</v>
      </c>
      <c r="AE78" s="27">
        <v>-762.9</v>
      </c>
      <c r="AF78" s="27">
        <v>-762.7</v>
      </c>
      <c r="AG78" s="27">
        <v>-848.2</v>
      </c>
      <c r="AH78" s="27">
        <v>-862.7</v>
      </c>
      <c r="AI78" s="27">
        <v>-830.5</v>
      </c>
      <c r="AJ78" s="27">
        <v>-882.9</v>
      </c>
      <c r="AK78" s="27">
        <v>-910.7</v>
      </c>
      <c r="AL78" s="27">
        <v>-863.6</v>
      </c>
      <c r="AM78" s="27">
        <v>-789.2</v>
      </c>
      <c r="AN78" s="27">
        <v>-917.2</v>
      </c>
      <c r="AO78" s="27">
        <v>-933.7</v>
      </c>
      <c r="AP78" s="27">
        <v>-886</v>
      </c>
      <c r="AQ78" s="27">
        <v>-930</v>
      </c>
      <c r="AR78" s="27">
        <v>-985</v>
      </c>
      <c r="AS78" s="27">
        <v>-1064.5</v>
      </c>
      <c r="AT78" s="27">
        <v>-943.3</v>
      </c>
      <c r="AU78" s="27">
        <v>-992.1</v>
      </c>
      <c r="AV78" s="27">
        <v>-1027.9000000000001</v>
      </c>
      <c r="AW78" s="27">
        <v>-1080.4000000000001</v>
      </c>
      <c r="AX78" s="27">
        <v>-1014</v>
      </c>
      <c r="AY78" s="71">
        <v>-1028</v>
      </c>
      <c r="AZ78" s="27">
        <f>-2144.5-AY78</f>
        <v>-1116.5</v>
      </c>
      <c r="BA78" s="27">
        <v>-1188.7</v>
      </c>
      <c r="BB78" s="72">
        <v>-1169.0999999999999</v>
      </c>
      <c r="BC78" s="118">
        <v>-1085.4000000000001</v>
      </c>
      <c r="BD78" s="26">
        <f>-2297.3-BC78</f>
        <v>-1211.9000000000001</v>
      </c>
      <c r="BE78" s="26">
        <v>-1272.4000000000001</v>
      </c>
      <c r="BF78" s="119">
        <v>-1207.5</v>
      </c>
      <c r="BG78" s="6"/>
      <c r="BH78" s="6"/>
      <c r="BI78" s="6"/>
    </row>
    <row r="79" spans="2:61" x14ac:dyDescent="0.25">
      <c r="B79" s="11" t="s">
        <v>73</v>
      </c>
      <c r="C79" s="22">
        <f>+C78+C77</f>
        <v>323.89999999999998</v>
      </c>
      <c r="D79" s="22">
        <f>+D78+D77</f>
        <v>329.7</v>
      </c>
      <c r="E79" s="22">
        <f t="shared" ref="E79:AZ79" si="85">+E78+E77</f>
        <v>379.5</v>
      </c>
      <c r="F79" s="22">
        <f t="shared" si="85"/>
        <v>329.29999999999995</v>
      </c>
      <c r="G79" s="22">
        <f t="shared" si="85"/>
        <v>298</v>
      </c>
      <c r="H79" s="22">
        <f t="shared" si="85"/>
        <v>105.89999999999998</v>
      </c>
      <c r="I79" s="22">
        <f t="shared" si="85"/>
        <v>54.799999999999955</v>
      </c>
      <c r="J79" s="22">
        <f t="shared" si="85"/>
        <v>50</v>
      </c>
      <c r="K79" s="22">
        <f t="shared" si="85"/>
        <v>75.100000000000023</v>
      </c>
      <c r="L79" s="22">
        <f t="shared" si="85"/>
        <v>48.799999999999955</v>
      </c>
      <c r="M79" s="22">
        <f t="shared" si="85"/>
        <v>41.899999999999977</v>
      </c>
      <c r="N79" s="22">
        <f t="shared" si="85"/>
        <v>88.300000000000068</v>
      </c>
      <c r="O79" s="22">
        <f t="shared" si="85"/>
        <v>40.5</v>
      </c>
      <c r="P79" s="22">
        <f t="shared" si="85"/>
        <v>-4</v>
      </c>
      <c r="Q79" s="22">
        <f t="shared" si="85"/>
        <v>-3.7000000000000455</v>
      </c>
      <c r="R79" s="22">
        <f t="shared" si="85"/>
        <v>145</v>
      </c>
      <c r="S79" s="22">
        <f t="shared" si="85"/>
        <v>87.799999999999955</v>
      </c>
      <c r="T79" s="22">
        <f t="shared" si="85"/>
        <v>282.79999999999995</v>
      </c>
      <c r="U79" s="22">
        <f t="shared" si="85"/>
        <v>455.09999999999991</v>
      </c>
      <c r="V79" s="22">
        <f t="shared" si="85"/>
        <v>406.69999999999993</v>
      </c>
      <c r="W79" s="22">
        <f t="shared" si="85"/>
        <v>389.90000000000009</v>
      </c>
      <c r="X79" s="22">
        <f t="shared" si="85"/>
        <v>438.79999999999995</v>
      </c>
      <c r="Y79" s="22">
        <f t="shared" si="85"/>
        <v>473.30000000000007</v>
      </c>
      <c r="Z79" s="22">
        <f t="shared" si="85"/>
        <v>528.20000000000005</v>
      </c>
      <c r="AA79" s="21">
        <f t="shared" si="85"/>
        <v>555</v>
      </c>
      <c r="AB79" s="21">
        <f t="shared" si="85"/>
        <v>558.29999999999995</v>
      </c>
      <c r="AC79" s="21">
        <f t="shared" si="85"/>
        <v>274.10000000000002</v>
      </c>
      <c r="AD79" s="21">
        <f t="shared" si="85"/>
        <v>425.5</v>
      </c>
      <c r="AE79" s="21">
        <f t="shared" si="85"/>
        <v>793.69999999999993</v>
      </c>
      <c r="AF79" s="21">
        <f t="shared" si="85"/>
        <v>489.20000000000005</v>
      </c>
      <c r="AG79" s="21">
        <f t="shared" si="85"/>
        <v>360.59999999999991</v>
      </c>
      <c r="AH79" s="21">
        <f t="shared" si="85"/>
        <v>422.5</v>
      </c>
      <c r="AI79" s="21">
        <f t="shared" si="85"/>
        <v>60.600000000000023</v>
      </c>
      <c r="AJ79" s="21">
        <f t="shared" si="85"/>
        <v>380.1</v>
      </c>
      <c r="AK79" s="21">
        <f t="shared" si="85"/>
        <v>252.29999999999995</v>
      </c>
      <c r="AL79" s="21">
        <f t="shared" si="85"/>
        <v>321.89999999999998</v>
      </c>
      <c r="AM79" s="21">
        <f t="shared" si="85"/>
        <v>365.09999999999991</v>
      </c>
      <c r="AN79" s="21">
        <f t="shared" si="85"/>
        <v>479.59999999999991</v>
      </c>
      <c r="AO79" s="21">
        <f t="shared" si="85"/>
        <v>757.2</v>
      </c>
      <c r="AP79" s="21">
        <f t="shared" si="85"/>
        <v>935.8</v>
      </c>
      <c r="AQ79" s="21">
        <f t="shared" si="85"/>
        <v>582.09999999999991</v>
      </c>
      <c r="AR79" s="21">
        <f t="shared" si="85"/>
        <v>856.90000000000009</v>
      </c>
      <c r="AS79" s="21">
        <f t="shared" si="85"/>
        <v>862.09999999999991</v>
      </c>
      <c r="AT79" s="21">
        <f t="shared" si="85"/>
        <v>470</v>
      </c>
      <c r="AU79" s="21">
        <f t="shared" si="85"/>
        <v>662.19999999999993</v>
      </c>
      <c r="AV79" s="21">
        <f t="shared" si="85"/>
        <v>845.69999999999982</v>
      </c>
      <c r="AW79" s="21">
        <f t="shared" si="85"/>
        <v>637.29999999999995</v>
      </c>
      <c r="AX79" s="21">
        <f t="shared" si="85"/>
        <v>694.8</v>
      </c>
      <c r="AY79" s="66">
        <f t="shared" si="85"/>
        <v>731</v>
      </c>
      <c r="AZ79" s="69">
        <f t="shared" si="85"/>
        <v>759.59999999999991</v>
      </c>
      <c r="BA79" s="69">
        <f t="shared" ref="BA79:BB79" si="86">+BA78+BA77</f>
        <v>629.89999999999986</v>
      </c>
      <c r="BB79" s="70">
        <f t="shared" si="86"/>
        <v>880</v>
      </c>
      <c r="BC79" s="115">
        <f t="shared" ref="BC79:BD79" si="87">+BC78+BC77</f>
        <v>158.5</v>
      </c>
      <c r="BD79" s="116">
        <f t="shared" si="87"/>
        <v>585.39999999999964</v>
      </c>
      <c r="BE79" s="116">
        <f t="shared" ref="BE79:BF79" si="88">+BE78+BE77</f>
        <v>364.09999999999991</v>
      </c>
      <c r="BF79" s="117">
        <f t="shared" si="88"/>
        <v>806.2</v>
      </c>
      <c r="BG79" s="6"/>
      <c r="BH79" s="6"/>
      <c r="BI79" s="6"/>
    </row>
    <row r="80" spans="2:61" x14ac:dyDescent="0.25">
      <c r="B80" s="11" t="s">
        <v>74</v>
      </c>
      <c r="C80" s="22">
        <v>-29.6</v>
      </c>
      <c r="D80" s="22">
        <v>-36.1</v>
      </c>
      <c r="E80" s="22">
        <v>-48.6</v>
      </c>
      <c r="F80" s="22">
        <v>-58.6</v>
      </c>
      <c r="G80" s="22">
        <v>-59.7</v>
      </c>
      <c r="H80" s="22">
        <v>-54.4</v>
      </c>
      <c r="I80" s="22">
        <v>-59.5</v>
      </c>
      <c r="J80" s="22">
        <v>-63.2</v>
      </c>
      <c r="K80" s="22">
        <v>-62</v>
      </c>
      <c r="L80" s="22">
        <v>-63.6</v>
      </c>
      <c r="M80" s="22">
        <v>-87</v>
      </c>
      <c r="N80" s="22">
        <v>-92.3</v>
      </c>
      <c r="O80" s="22">
        <v>-85</v>
      </c>
      <c r="P80" s="22">
        <v>-79.599999999999994</v>
      </c>
      <c r="Q80" s="22">
        <v>-58.3</v>
      </c>
      <c r="R80" s="22">
        <v>-70.2</v>
      </c>
      <c r="S80" s="22">
        <v>-57.7</v>
      </c>
      <c r="T80" s="22">
        <v>-70</v>
      </c>
      <c r="U80" s="22">
        <v>-139.5</v>
      </c>
      <c r="V80" s="22">
        <v>-151.30000000000001</v>
      </c>
      <c r="W80" s="22">
        <v>-125.5</v>
      </c>
      <c r="X80" s="22">
        <v>-128.6</v>
      </c>
      <c r="Y80" s="22">
        <v>-159.1</v>
      </c>
      <c r="Z80" s="22">
        <v>-160.4</v>
      </c>
      <c r="AA80" s="21">
        <v>-127.4</v>
      </c>
      <c r="AB80" s="21">
        <v>-144.5</v>
      </c>
      <c r="AC80" s="21">
        <v>-174.8</v>
      </c>
      <c r="AD80" s="21">
        <v>-161.80000000000001</v>
      </c>
      <c r="AE80" s="21">
        <v>-180.4</v>
      </c>
      <c r="AF80" s="21">
        <v>-175.7</v>
      </c>
      <c r="AG80" s="21">
        <v>-215.7</v>
      </c>
      <c r="AH80" s="21">
        <v>-208.1</v>
      </c>
      <c r="AI80" s="21">
        <v>-167</v>
      </c>
      <c r="AJ80" s="21">
        <v>-209.5</v>
      </c>
      <c r="AK80" s="21">
        <v>-223.1</v>
      </c>
      <c r="AL80" s="21">
        <v>-198.2</v>
      </c>
      <c r="AM80" s="21">
        <v>-223.8</v>
      </c>
      <c r="AN80" s="21">
        <v>-201.3</v>
      </c>
      <c r="AO80" s="21">
        <v>-192.1</v>
      </c>
      <c r="AP80" s="21">
        <v>-196</v>
      </c>
      <c r="AQ80" s="21">
        <v>-183.9</v>
      </c>
      <c r="AR80" s="21">
        <v>-201</v>
      </c>
      <c r="AS80" s="21">
        <v>-194.5</v>
      </c>
      <c r="AT80" s="21">
        <v>-147</v>
      </c>
      <c r="AU80" s="21">
        <v>-202.5</v>
      </c>
      <c r="AV80" s="21">
        <v>-265.39999999999998</v>
      </c>
      <c r="AW80" s="21">
        <v>-292.60000000000002</v>
      </c>
      <c r="AX80" s="21">
        <v>-336</v>
      </c>
      <c r="AY80" s="66">
        <v>-321.39999999999998</v>
      </c>
      <c r="AZ80" s="69">
        <f>-667.8-AY80</f>
        <v>-346.4</v>
      </c>
      <c r="BA80" s="69">
        <v>-318.39999999999998</v>
      </c>
      <c r="BB80" s="70">
        <v>-336.1</v>
      </c>
      <c r="BC80" s="115">
        <v>-206.6</v>
      </c>
      <c r="BD80" s="116">
        <f>-485.5-BC80</f>
        <v>-278.89999999999998</v>
      </c>
      <c r="BE80" s="116">
        <v>-252.1</v>
      </c>
      <c r="BF80" s="117">
        <v>-291.7</v>
      </c>
      <c r="BG80" s="6"/>
      <c r="BH80" s="6"/>
      <c r="BI80" s="6"/>
    </row>
    <row r="81" spans="2:61" x14ac:dyDescent="0.25">
      <c r="B81" s="11" t="s">
        <v>75</v>
      </c>
      <c r="C81" s="22">
        <v>3</v>
      </c>
      <c r="D81" s="22">
        <v>5.2</v>
      </c>
      <c r="E81" s="22">
        <v>4</v>
      </c>
      <c r="F81" s="22">
        <v>0</v>
      </c>
      <c r="G81" s="22">
        <v>0.2</v>
      </c>
      <c r="H81" s="22">
        <f>-8.6+1.1</f>
        <v>-7.5</v>
      </c>
      <c r="I81" s="22">
        <v>-4.0999999999999996</v>
      </c>
      <c r="J81" s="22">
        <f>-1.4-1.2</f>
        <v>-2.5999999999999996</v>
      </c>
      <c r="K81" s="22">
        <f>-12.5-0.7</f>
        <v>-13.2</v>
      </c>
      <c r="L81" s="22">
        <v>-40.799999999999997</v>
      </c>
      <c r="M81" s="22">
        <v>29.3</v>
      </c>
      <c r="N81" s="22">
        <v>28.4</v>
      </c>
      <c r="O81" s="22">
        <v>-38.5</v>
      </c>
      <c r="P81" s="22">
        <f>13.2-12.6</f>
        <v>0.59999999999999964</v>
      </c>
      <c r="Q81" s="22">
        <v>-12.2</v>
      </c>
      <c r="R81" s="22">
        <v>-8.4</v>
      </c>
      <c r="S81" s="22">
        <f>-8.5+16.7</f>
        <v>8.1999999999999993</v>
      </c>
      <c r="T81" s="22">
        <f>-10.6+0.1</f>
        <v>-10.5</v>
      </c>
      <c r="U81" s="22">
        <v>-7.3</v>
      </c>
      <c r="V81" s="22">
        <v>-9.5</v>
      </c>
      <c r="W81" s="22">
        <f>-5.1+0.6</f>
        <v>-4.5</v>
      </c>
      <c r="X81" s="22">
        <f>-5.6+0.3</f>
        <v>-5.3</v>
      </c>
      <c r="Y81" s="22">
        <f>-11.5+0.4</f>
        <v>-11.1</v>
      </c>
      <c r="Z81" s="22">
        <f>-9.6+0.5</f>
        <v>-9.1</v>
      </c>
      <c r="AA81" s="21">
        <v>-47</v>
      </c>
      <c r="AB81" s="21">
        <f>-8-0.3</f>
        <v>-8.3000000000000007</v>
      </c>
      <c r="AC81" s="21">
        <f>-23.9</f>
        <v>-23.9</v>
      </c>
      <c r="AD81" s="21">
        <f>-41.7</f>
        <v>-41.7</v>
      </c>
      <c r="AE81" s="21">
        <f>-50.3+7.6</f>
        <v>-42.699999999999996</v>
      </c>
      <c r="AF81" s="21">
        <f>-21.9-23.1</f>
        <v>-45</v>
      </c>
      <c r="AG81" s="21">
        <f>-16.3-0.5</f>
        <v>-16.8</v>
      </c>
      <c r="AH81" s="21">
        <f>-21.5+2.4</f>
        <v>-19.100000000000001</v>
      </c>
      <c r="AI81" s="21">
        <f>-21.1</f>
        <v>-21.1</v>
      </c>
      <c r="AJ81" s="21">
        <f>-46.6-2.6</f>
        <v>-49.2</v>
      </c>
      <c r="AK81" s="21">
        <f>-41.6-51.8</f>
        <v>-93.4</v>
      </c>
      <c r="AL81" s="21">
        <f>-4.3-400.8</f>
        <v>-405.1</v>
      </c>
      <c r="AM81" s="21">
        <f>-15.2-3.7</f>
        <v>-18.899999999999999</v>
      </c>
      <c r="AN81" s="21">
        <f>-18.4-10.1</f>
        <v>-28.5</v>
      </c>
      <c r="AO81" s="21">
        <f>-16.7-29.3</f>
        <v>-46</v>
      </c>
      <c r="AP81" s="21">
        <f>-36.5-11</f>
        <v>-47.5</v>
      </c>
      <c r="AQ81" s="21">
        <f>-15.5-22.9</f>
        <v>-38.4</v>
      </c>
      <c r="AR81" s="21">
        <f>-7.2-29.5</f>
        <v>-36.700000000000003</v>
      </c>
      <c r="AS81" s="21">
        <f>-14-35.2</f>
        <v>-49.2</v>
      </c>
      <c r="AT81" s="21">
        <f>-21.7-38.9</f>
        <v>-60.599999999999994</v>
      </c>
      <c r="AU81" s="21">
        <v>-112.9</v>
      </c>
      <c r="AV81" s="21">
        <v>-100</v>
      </c>
      <c r="AW81" s="21">
        <v>-51.9</v>
      </c>
      <c r="AX81" s="21">
        <v>-69.5</v>
      </c>
      <c r="AY81" s="66">
        <v>-71.099999999999994</v>
      </c>
      <c r="AZ81" s="69">
        <v>-47.199999999999932</v>
      </c>
      <c r="BA81" s="69">
        <v>-208.4</v>
      </c>
      <c r="BB81" s="70">
        <v>-30</v>
      </c>
      <c r="BC81" s="115">
        <v>-45.2</v>
      </c>
      <c r="BD81" s="116">
        <f>-76.2-BC81</f>
        <v>-31</v>
      </c>
      <c r="BE81" s="116">
        <v>-32.200000000000003</v>
      </c>
      <c r="BF81" s="117">
        <f>-66.2-5.7</f>
        <v>-71.900000000000006</v>
      </c>
      <c r="BG81" s="6"/>
      <c r="BH81" s="6"/>
      <c r="BI81" s="6"/>
    </row>
    <row r="82" spans="2:61" x14ac:dyDescent="0.25">
      <c r="B82" s="11" t="s">
        <v>76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9"/>
      <c r="AB82" s="29"/>
      <c r="AC82" s="29"/>
      <c r="AD82" s="29"/>
      <c r="AE82" s="29"/>
      <c r="AF82" s="29"/>
      <c r="AG82" s="29"/>
      <c r="AH82" s="29"/>
      <c r="AI82" s="21">
        <v>-1.4</v>
      </c>
      <c r="AJ82" s="21">
        <v>-6.8</v>
      </c>
      <c r="AK82" s="21">
        <v>-5.8</v>
      </c>
      <c r="AL82" s="21">
        <v>-5.9</v>
      </c>
      <c r="AM82" s="21">
        <v>-5.8</v>
      </c>
      <c r="AN82" s="21">
        <v>-19.3</v>
      </c>
      <c r="AO82" s="21">
        <v>-43.9</v>
      </c>
      <c r="AP82" s="21">
        <v>-55.7</v>
      </c>
      <c r="AQ82" s="21">
        <v>-29.9</v>
      </c>
      <c r="AR82" s="21">
        <v>-47.8</v>
      </c>
      <c r="AS82" s="21">
        <v>-46.5</v>
      </c>
      <c r="AT82" s="21">
        <v>-21.1</v>
      </c>
      <c r="AU82" s="21">
        <v>-32</v>
      </c>
      <c r="AV82" s="21">
        <f>-47.2</f>
        <v>-47.2</v>
      </c>
      <c r="AW82" s="21">
        <v>-29.9</v>
      </c>
      <c r="AX82" s="21">
        <v>-38</v>
      </c>
      <c r="AY82" s="66">
        <v>-43.5</v>
      </c>
      <c r="AZ82" s="69">
        <f>-84.8-AY82</f>
        <v>-41.3</v>
      </c>
      <c r="BA82" s="69">
        <v>-47.2</v>
      </c>
      <c r="BB82" s="70">
        <v>-42.5</v>
      </c>
      <c r="BC82" s="115">
        <v>-6.2</v>
      </c>
      <c r="BD82" s="116">
        <f>-28.7-BC82</f>
        <v>-22.5</v>
      </c>
      <c r="BE82" s="116">
        <v>-9.9</v>
      </c>
      <c r="BF82" s="117">
        <v>-59.8</v>
      </c>
      <c r="BG82" s="6"/>
      <c r="BH82" s="6"/>
      <c r="BI82" s="6"/>
    </row>
    <row r="83" spans="2:61" x14ac:dyDescent="0.25">
      <c r="B83" s="11" t="s">
        <v>77</v>
      </c>
      <c r="C83" s="22">
        <v>-106.3</v>
      </c>
      <c r="D83" s="22">
        <v>-111.7</v>
      </c>
      <c r="E83" s="22">
        <v>-117.2</v>
      </c>
      <c r="F83" s="22">
        <v>-88</v>
      </c>
      <c r="G83" s="22">
        <v>-73.7</v>
      </c>
      <c r="H83" s="22">
        <v>-8.5</v>
      </c>
      <c r="I83" s="22">
        <v>24</v>
      </c>
      <c r="J83" s="22">
        <v>15.5</v>
      </c>
      <c r="K83" s="22">
        <v>14.5</v>
      </c>
      <c r="L83" s="22">
        <v>32.1</v>
      </c>
      <c r="M83" s="22">
        <v>15.7</v>
      </c>
      <c r="N83" s="22">
        <v>-1.4</v>
      </c>
      <c r="O83" s="22">
        <v>37.799999999999997</v>
      </c>
      <c r="P83" s="22">
        <v>45</v>
      </c>
      <c r="Q83" s="22">
        <v>36.799999999999997</v>
      </c>
      <c r="R83" s="22">
        <v>-20.100000000000001</v>
      </c>
      <c r="S83" s="22">
        <v>-9.5</v>
      </c>
      <c r="T83" s="22">
        <v>-73.7</v>
      </c>
      <c r="U83" s="22">
        <v>-106.9</v>
      </c>
      <c r="V83" s="22">
        <v>-62.9</v>
      </c>
      <c r="W83" s="22">
        <v>-61.6</v>
      </c>
      <c r="X83" s="22">
        <v>-97.3</v>
      </c>
      <c r="Y83" s="22">
        <v>-104</v>
      </c>
      <c r="Z83" s="22">
        <v>-126.1</v>
      </c>
      <c r="AA83" s="21">
        <v>-126.8</v>
      </c>
      <c r="AB83" s="21">
        <v>-143.1</v>
      </c>
      <c r="AC83" s="21">
        <v>-32.5</v>
      </c>
      <c r="AD83" s="21">
        <v>-45.9</v>
      </c>
      <c r="AE83" s="21">
        <v>-206.3</v>
      </c>
      <c r="AF83" s="21">
        <v>-79</v>
      </c>
      <c r="AG83" s="21">
        <f>-4.1-37.2</f>
        <v>-41.300000000000004</v>
      </c>
      <c r="AH83" s="21">
        <f>-28.1-17.6</f>
        <v>-45.7</v>
      </c>
      <c r="AI83" s="21">
        <f>-7+4.8</f>
        <v>-2.2000000000000002</v>
      </c>
      <c r="AJ83" s="21">
        <f>-44.2-3.2</f>
        <v>-47.400000000000006</v>
      </c>
      <c r="AK83" s="21">
        <f>20.7+13.1</f>
        <v>33.799999999999997</v>
      </c>
      <c r="AL83" s="21">
        <f>120.6-2.6</f>
        <v>118</v>
      </c>
      <c r="AM83" s="21">
        <f>-44.8-1</f>
        <v>-45.8</v>
      </c>
      <c r="AN83" s="21">
        <f>-57.6-0.1</f>
        <v>-57.7</v>
      </c>
      <c r="AO83" s="21">
        <f>-31.1-113.9</f>
        <v>-145</v>
      </c>
      <c r="AP83" s="21">
        <f>-39.5-187.6</f>
        <v>-227.1</v>
      </c>
      <c r="AQ83" s="21">
        <f>337.6-67.3</f>
        <v>270.3</v>
      </c>
      <c r="AR83" s="21">
        <f>-44.1-113.9</f>
        <v>-158</v>
      </c>
      <c r="AS83" s="21">
        <f>-52.1-103.5</f>
        <v>-155.6</v>
      </c>
      <c r="AT83" s="21">
        <f>-34-21.6</f>
        <v>-55.6</v>
      </c>
      <c r="AU83" s="21">
        <f>-48.8-30.1</f>
        <v>-78.900000000000006</v>
      </c>
      <c r="AV83" s="21">
        <f>-101.8-13.3</f>
        <v>-115.1</v>
      </c>
      <c r="AW83" s="21">
        <f>-40.8-19.1</f>
        <v>-59.9</v>
      </c>
      <c r="AX83" s="21">
        <f>-82.1+80.8</f>
        <v>-1.2999999999999972</v>
      </c>
      <c r="AY83" s="66">
        <f>17.8-96.8</f>
        <v>-79</v>
      </c>
      <c r="AZ83" s="69">
        <f>-187.4+19.4-AY83</f>
        <v>-89</v>
      </c>
      <c r="BA83" s="69">
        <f>-56.8+52.9</f>
        <v>-3.8999999999999986</v>
      </c>
      <c r="BB83" s="70">
        <f>-135.4-1</f>
        <v>-136.4</v>
      </c>
      <c r="BC83" s="115">
        <v>23.4</v>
      </c>
      <c r="BD83" s="116">
        <f>-3.2-16.9-BC83</f>
        <v>-43.5</v>
      </c>
      <c r="BE83" s="116">
        <v>-22.1</v>
      </c>
      <c r="BF83" s="117">
        <f>-99.8+39.4</f>
        <v>-60.4</v>
      </c>
      <c r="BG83" s="6"/>
      <c r="BH83" s="6"/>
      <c r="BI83" s="6"/>
    </row>
    <row r="84" spans="2:61" ht="15.75" thickBot="1" x14ac:dyDescent="0.3">
      <c r="B84" s="11" t="s">
        <v>78</v>
      </c>
      <c r="C84" s="30">
        <f>SUM(C79:C83)</f>
        <v>190.99999999999994</v>
      </c>
      <c r="D84" s="30">
        <f t="shared" ref="D84:AZ84" si="89">SUM(D79:D83)</f>
        <v>187.09999999999997</v>
      </c>
      <c r="E84" s="30">
        <f t="shared" si="89"/>
        <v>217.7</v>
      </c>
      <c r="F84" s="30">
        <f t="shared" si="89"/>
        <v>182.69999999999993</v>
      </c>
      <c r="G84" s="30">
        <f t="shared" si="89"/>
        <v>164.8</v>
      </c>
      <c r="H84" s="30">
        <f t="shared" si="89"/>
        <v>35.499999999999979</v>
      </c>
      <c r="I84" s="30">
        <f t="shared" si="89"/>
        <v>15.199999999999955</v>
      </c>
      <c r="J84" s="30">
        <f t="shared" si="89"/>
        <v>-0.30000000000000249</v>
      </c>
      <c r="K84" s="30">
        <f t="shared" si="89"/>
        <v>14.400000000000023</v>
      </c>
      <c r="L84" s="30">
        <f t="shared" si="89"/>
        <v>-23.500000000000043</v>
      </c>
      <c r="M84" s="30">
        <f t="shared" si="89"/>
        <v>-0.10000000000002274</v>
      </c>
      <c r="N84" s="30">
        <f t="shared" si="89"/>
        <v>23.000000000000071</v>
      </c>
      <c r="O84" s="30">
        <f t="shared" si="89"/>
        <v>-45.2</v>
      </c>
      <c r="P84" s="30">
        <f t="shared" si="89"/>
        <v>-38</v>
      </c>
      <c r="Q84" s="30">
        <f t="shared" si="89"/>
        <v>-37.400000000000048</v>
      </c>
      <c r="R84" s="30">
        <f t="shared" si="89"/>
        <v>46.29999999999999</v>
      </c>
      <c r="S84" s="30">
        <f t="shared" si="89"/>
        <v>28.799999999999955</v>
      </c>
      <c r="T84" s="30">
        <f t="shared" si="89"/>
        <v>128.59999999999997</v>
      </c>
      <c r="U84" s="30">
        <f t="shared" si="89"/>
        <v>201.39999999999989</v>
      </c>
      <c r="V84" s="30">
        <f t="shared" si="89"/>
        <v>182.99999999999991</v>
      </c>
      <c r="W84" s="30">
        <f t="shared" si="89"/>
        <v>198.3000000000001</v>
      </c>
      <c r="X84" s="30">
        <f t="shared" si="89"/>
        <v>207.59999999999991</v>
      </c>
      <c r="Y84" s="30">
        <f t="shared" si="89"/>
        <v>199.10000000000002</v>
      </c>
      <c r="Z84" s="30">
        <f t="shared" si="89"/>
        <v>232.60000000000005</v>
      </c>
      <c r="AA84" s="31">
        <f t="shared" si="89"/>
        <v>253.8</v>
      </c>
      <c r="AB84" s="31">
        <f t="shared" si="89"/>
        <v>262.39999999999998</v>
      </c>
      <c r="AC84" s="31">
        <f t="shared" si="89"/>
        <v>42.900000000000006</v>
      </c>
      <c r="AD84" s="31">
        <f t="shared" si="89"/>
        <v>176.1</v>
      </c>
      <c r="AE84" s="31">
        <f t="shared" si="89"/>
        <v>364.2999999999999</v>
      </c>
      <c r="AF84" s="31">
        <f t="shared" si="89"/>
        <v>189.50000000000006</v>
      </c>
      <c r="AG84" s="31">
        <f t="shared" si="89"/>
        <v>86.799999999999898</v>
      </c>
      <c r="AH84" s="31">
        <f t="shared" si="89"/>
        <v>149.60000000000002</v>
      </c>
      <c r="AI84" s="31">
        <f t="shared" si="89"/>
        <v>-131.09999999999997</v>
      </c>
      <c r="AJ84" s="31">
        <f t="shared" si="89"/>
        <v>67.200000000000017</v>
      </c>
      <c r="AK84" s="31">
        <f t="shared" si="89"/>
        <v>-36.200000000000045</v>
      </c>
      <c r="AL84" s="31">
        <f t="shared" si="89"/>
        <v>-169.3</v>
      </c>
      <c r="AM84" s="31">
        <f t="shared" si="89"/>
        <v>70.799999999999898</v>
      </c>
      <c r="AN84" s="31">
        <f t="shared" si="89"/>
        <v>172.7999999999999</v>
      </c>
      <c r="AO84" s="31">
        <f t="shared" si="89"/>
        <v>330.20000000000005</v>
      </c>
      <c r="AP84" s="31">
        <f t="shared" si="89"/>
        <v>409.49999999999989</v>
      </c>
      <c r="AQ84" s="31">
        <f t="shared" si="89"/>
        <v>600.20000000000005</v>
      </c>
      <c r="AR84" s="31">
        <f t="shared" si="89"/>
        <v>413.40000000000009</v>
      </c>
      <c r="AS84" s="31">
        <f t="shared" si="89"/>
        <v>416.29999999999984</v>
      </c>
      <c r="AT84" s="31">
        <f t="shared" si="89"/>
        <v>185.7</v>
      </c>
      <c r="AU84" s="31">
        <f t="shared" si="89"/>
        <v>235.89999999999995</v>
      </c>
      <c r="AV84" s="31">
        <f t="shared" si="89"/>
        <v>317.99999999999989</v>
      </c>
      <c r="AW84" s="31">
        <f t="shared" si="89"/>
        <v>202.99999999999997</v>
      </c>
      <c r="AX84" s="31">
        <f t="shared" si="89"/>
        <v>249.99999999999994</v>
      </c>
      <c r="AY84" s="73">
        <f t="shared" si="89"/>
        <v>216</v>
      </c>
      <c r="AZ84" s="31">
        <f t="shared" si="89"/>
        <v>235.7</v>
      </c>
      <c r="BA84" s="31">
        <f t="shared" ref="BA84:BB84" si="90">SUM(BA79:BA83)</f>
        <v>51.999999999999879</v>
      </c>
      <c r="BB84" s="74">
        <f t="shared" si="90"/>
        <v>335</v>
      </c>
      <c r="BC84" s="120">
        <f t="shared" ref="BC84:BD84" si="91">SUM(BC79:BC83)</f>
        <v>-76.099999999999994</v>
      </c>
      <c r="BD84" s="30">
        <f t="shared" si="91"/>
        <v>209.49999999999966</v>
      </c>
      <c r="BE84" s="30">
        <f t="shared" ref="BE84:BF84" si="92">SUM(BE79:BE83)</f>
        <v>47.799999999999905</v>
      </c>
      <c r="BF84" s="121">
        <f t="shared" si="92"/>
        <v>322.40000000000003</v>
      </c>
      <c r="BG84" s="6"/>
      <c r="BH84" s="6"/>
      <c r="BI84" s="6"/>
    </row>
    <row r="85" spans="2:61" ht="16.5" thickTop="1" x14ac:dyDescent="0.25">
      <c r="B85" s="39" t="str">
        <f>+B51</f>
        <v>Kloof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63"/>
      <c r="AZ85" s="57"/>
      <c r="BA85" s="57"/>
      <c r="BB85" s="58"/>
      <c r="BC85" s="108"/>
      <c r="BD85" s="106"/>
      <c r="BE85" s="106"/>
      <c r="BF85" s="107"/>
      <c r="BG85" s="6"/>
      <c r="BH85" s="6"/>
      <c r="BI85" s="6"/>
    </row>
    <row r="86" spans="2:61" x14ac:dyDescent="0.25">
      <c r="B86" s="24" t="s">
        <v>79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63"/>
      <c r="AZ86" s="57"/>
      <c r="BA86" s="57"/>
      <c r="BB86" s="58"/>
      <c r="BC86" s="108"/>
      <c r="BD86" s="106"/>
      <c r="BE86" s="106"/>
      <c r="BF86" s="107"/>
      <c r="BG86" s="6"/>
      <c r="BH86" s="6"/>
      <c r="BI86" s="6"/>
    </row>
    <row r="87" spans="2:61" x14ac:dyDescent="0.25">
      <c r="B87" t="s">
        <v>80</v>
      </c>
      <c r="C87" s="14">
        <f>((+C77+C76)*(1000000)/(C65))</f>
        <v>101170.46445025525</v>
      </c>
      <c r="D87" s="14">
        <f>((+D77+D76)*(1000000)/(8444))</f>
        <v>96553.765987683568</v>
      </c>
      <c r="E87" s="14">
        <f>+E77*(1000000)/(9062)</f>
        <v>104767.15956742442</v>
      </c>
      <c r="F87" s="14">
        <f t="shared" ref="F87:AY87" si="93">+F77*(1000000)/(F65)</f>
        <v>100482.77375466315</v>
      </c>
      <c r="G87" s="14">
        <f t="shared" si="93"/>
        <v>95166.163141993951</v>
      </c>
      <c r="H87" s="14">
        <f t="shared" si="93"/>
        <v>86656.764451045921</v>
      </c>
      <c r="I87" s="14">
        <f t="shared" si="93"/>
        <v>86242.802891093961</v>
      </c>
      <c r="J87" s="14">
        <f t="shared" si="93"/>
        <v>85104.318292091222</v>
      </c>
      <c r="K87" s="14">
        <f t="shared" si="93"/>
        <v>88632.577213892087</v>
      </c>
      <c r="L87" s="14">
        <f t="shared" si="93"/>
        <v>83033.610318739928</v>
      </c>
      <c r="M87" s="14">
        <f t="shared" si="93"/>
        <v>81743.63921379477</v>
      </c>
      <c r="N87" s="14">
        <f t="shared" si="93"/>
        <v>84530.766586455822</v>
      </c>
      <c r="O87" s="14">
        <f t="shared" si="93"/>
        <v>81989.541529855283</v>
      </c>
      <c r="P87" s="14">
        <f t="shared" si="93"/>
        <v>88410.548823948688</v>
      </c>
      <c r="Q87" s="14">
        <f t="shared" si="93"/>
        <v>91431.095406360429</v>
      </c>
      <c r="R87" s="14">
        <f t="shared" si="93"/>
        <v>100967.29031436935</v>
      </c>
      <c r="S87" s="14">
        <f t="shared" si="93"/>
        <v>109223.60248447205</v>
      </c>
      <c r="T87" s="14">
        <f t="shared" si="93"/>
        <v>129359.67302452316</v>
      </c>
      <c r="U87" s="14">
        <f t="shared" si="93"/>
        <v>141820.10862365874</v>
      </c>
      <c r="V87" s="14">
        <f t="shared" si="93"/>
        <v>144422.75515895148</v>
      </c>
      <c r="W87" s="14">
        <f t="shared" si="93"/>
        <v>151015.63641677628</v>
      </c>
      <c r="X87" s="14">
        <f t="shared" si="93"/>
        <v>152191.56980815012</v>
      </c>
      <c r="Y87" s="14">
        <f t="shared" si="93"/>
        <v>154925.53627544746</v>
      </c>
      <c r="Z87" s="14">
        <f t="shared" si="93"/>
        <v>169508.28806240423</v>
      </c>
      <c r="AA87" s="13">
        <f t="shared" si="93"/>
        <v>220135.5807988274</v>
      </c>
      <c r="AB87" s="13">
        <f t="shared" si="93"/>
        <v>224583.10919849382</v>
      </c>
      <c r="AC87" s="13">
        <f t="shared" si="93"/>
        <v>217511.80455758571</v>
      </c>
      <c r="AD87" s="13">
        <f t="shared" si="93"/>
        <v>254038.58384566463</v>
      </c>
      <c r="AE87" s="13">
        <f t="shared" si="93"/>
        <v>287939.32667406584</v>
      </c>
      <c r="AF87" s="13">
        <f t="shared" si="93"/>
        <v>250179.85611510792</v>
      </c>
      <c r="AG87" s="13">
        <f t="shared" si="93"/>
        <v>240605.09554140127</v>
      </c>
      <c r="AH87" s="13">
        <f t="shared" si="93"/>
        <v>262983.42541436467</v>
      </c>
      <c r="AI87" s="13">
        <f t="shared" si="93"/>
        <v>266477.27272727271</v>
      </c>
      <c r="AJ87" s="13">
        <f t="shared" si="93"/>
        <v>289082.16983291373</v>
      </c>
      <c r="AK87" s="13">
        <f t="shared" si="93"/>
        <v>287800.04949269985</v>
      </c>
      <c r="AL87" s="13">
        <f t="shared" si="93"/>
        <v>302346.34021933179</v>
      </c>
      <c r="AM87" s="13">
        <f t="shared" si="93"/>
        <v>312057.31278723979</v>
      </c>
      <c r="AN87" s="13">
        <f t="shared" si="93"/>
        <v>328041.33395960543</v>
      </c>
      <c r="AO87" s="13">
        <f t="shared" si="93"/>
        <v>389608.29493087559</v>
      </c>
      <c r="AP87" s="13">
        <f t="shared" si="93"/>
        <v>438143.33814333816</v>
      </c>
      <c r="AQ87" s="13">
        <f t="shared" si="93"/>
        <v>417476.53230259527</v>
      </c>
      <c r="AR87" s="13">
        <f t="shared" si="93"/>
        <v>421487.41418764304</v>
      </c>
      <c r="AS87" s="13">
        <f t="shared" si="93"/>
        <v>436079.67406066094</v>
      </c>
      <c r="AT87" s="13">
        <f t="shared" si="93"/>
        <v>480714.28571428574</v>
      </c>
      <c r="AU87" s="13">
        <f t="shared" si="93"/>
        <v>470372.47654250782</v>
      </c>
      <c r="AV87" s="13">
        <f t="shared" si="93"/>
        <v>435619.62334340852</v>
      </c>
      <c r="AW87" s="13">
        <f t="shared" si="93"/>
        <v>424752.72007912956</v>
      </c>
      <c r="AX87" s="13">
        <f t="shared" si="93"/>
        <v>415261.23936816526</v>
      </c>
      <c r="AY87" s="63">
        <f t="shared" si="93"/>
        <v>451604.62130937097</v>
      </c>
      <c r="AZ87" s="64">
        <f>+AZ77*(1000000)/(AZ65)</f>
        <v>435088.12615955475</v>
      </c>
      <c r="BA87" s="64">
        <f>+BA77*(1000000)/(BA65)</f>
        <v>442697.17624148005</v>
      </c>
      <c r="BB87" s="65">
        <f>+BB77*(1000000)/(BB65)</f>
        <v>433855.60025407578</v>
      </c>
      <c r="BC87" s="112">
        <f>+BC77*(1000000)/(BC65)</f>
        <v>459342.68833087152</v>
      </c>
      <c r="BD87" s="113">
        <f>+BD77*(1000000)/(BD65)-26</f>
        <v>462123.65286706085</v>
      </c>
      <c r="BE87" s="113">
        <f>+BE77*(1000000)/(BE65)</f>
        <v>469314.59707484941</v>
      </c>
      <c r="BF87" s="114">
        <f>+BF77*(1000000)/(BF65)</f>
        <v>505446.78714859439</v>
      </c>
      <c r="BG87" s="6"/>
      <c r="BH87" s="6"/>
      <c r="BI87" s="6"/>
    </row>
    <row r="88" spans="2:61" x14ac:dyDescent="0.25">
      <c r="B88" t="s">
        <v>81</v>
      </c>
      <c r="C88" s="14">
        <f>+C87/(32.15074)/(C97)</f>
        <v>272.91880631206453</v>
      </c>
      <c r="D88" s="14">
        <f t="shared" ref="D88:AZ88" si="94">+D87/(32.15074)/(D97)</f>
        <v>285.7429527989857</v>
      </c>
      <c r="E88" s="14">
        <f t="shared" si="94"/>
        <v>313.93290778106348</v>
      </c>
      <c r="F88" s="14">
        <f t="shared" si="94"/>
        <v>319.893987800628</v>
      </c>
      <c r="G88" s="14">
        <f t="shared" si="94"/>
        <v>353.22185586886252</v>
      </c>
      <c r="H88" s="14">
        <f t="shared" si="94"/>
        <v>348.23349009571592</v>
      </c>
      <c r="I88" s="14">
        <f t="shared" si="94"/>
        <v>360.54456544814468</v>
      </c>
      <c r="J88" s="14">
        <f t="shared" si="94"/>
        <v>391.57407254249563</v>
      </c>
      <c r="K88" s="14">
        <f t="shared" si="94"/>
        <v>406.00616676388779</v>
      </c>
      <c r="L88" s="14">
        <f t="shared" si="94"/>
        <v>391.30825754847103</v>
      </c>
      <c r="M88" s="14">
        <f t="shared" si="94"/>
        <v>399.76602284390606</v>
      </c>
      <c r="N88" s="14">
        <f t="shared" si="94"/>
        <v>429.60805140076968</v>
      </c>
      <c r="O88" s="14">
        <f t="shared" si="94"/>
        <v>428.59837375336542</v>
      </c>
      <c r="P88" s="14">
        <f t="shared" si="94"/>
        <v>430.34053459160202</v>
      </c>
      <c r="Q88" s="14">
        <f t="shared" si="94"/>
        <v>436.16956070310738</v>
      </c>
      <c r="R88" s="14">
        <f t="shared" si="94"/>
        <v>480.9241061968014</v>
      </c>
      <c r="S88" s="14">
        <f t="shared" si="94"/>
        <v>553.29551791002518</v>
      </c>
      <c r="T88" s="14">
        <f t="shared" si="94"/>
        <v>629.66141014259335</v>
      </c>
      <c r="U88" s="14">
        <f t="shared" si="94"/>
        <v>621.28159993924896</v>
      </c>
      <c r="V88" s="14">
        <f t="shared" si="94"/>
        <v>608.67896100768178</v>
      </c>
      <c r="W88" s="14">
        <f t="shared" si="94"/>
        <v>651.47188673788469</v>
      </c>
      <c r="X88" s="14">
        <f t="shared" si="94"/>
        <v>667.6569714823346</v>
      </c>
      <c r="Y88" s="14">
        <f t="shared" si="94"/>
        <v>678.69349405221885</v>
      </c>
      <c r="Z88" s="14">
        <f t="shared" si="94"/>
        <v>779.92576661612691</v>
      </c>
      <c r="AA88" s="13">
        <f t="shared" si="94"/>
        <v>919.05816498236595</v>
      </c>
      <c r="AB88" s="13">
        <f t="shared" si="94"/>
        <v>899.01119096236096</v>
      </c>
      <c r="AC88" s="13">
        <f t="shared" si="94"/>
        <v>874.07942493508483</v>
      </c>
      <c r="AD88" s="13">
        <f t="shared" si="94"/>
        <v>804.63185471267514</v>
      </c>
      <c r="AE88" s="13">
        <f t="shared" si="94"/>
        <v>901.90493421674353</v>
      </c>
      <c r="AF88" s="13">
        <f t="shared" si="94"/>
        <v>909.04964255989046</v>
      </c>
      <c r="AG88" s="13">
        <f t="shared" si="94"/>
        <v>956.989326866807</v>
      </c>
      <c r="AH88" s="13">
        <f t="shared" si="94"/>
        <v>1092.0828494434813</v>
      </c>
      <c r="AI88" s="13">
        <f t="shared" si="94"/>
        <v>1105.1161817831573</v>
      </c>
      <c r="AJ88" s="13">
        <f t="shared" si="94"/>
        <v>1197.2652995621718</v>
      </c>
      <c r="AK88" s="13">
        <f t="shared" si="94"/>
        <v>1216.2478249059532</v>
      </c>
      <c r="AL88" s="13">
        <f t="shared" si="94"/>
        <v>1358.9630491165415</v>
      </c>
      <c r="AM88" s="13">
        <f t="shared" si="94"/>
        <v>1390.5543512274787</v>
      </c>
      <c r="AN88" s="13">
        <f t="shared" si="94"/>
        <v>1504.9009004198051</v>
      </c>
      <c r="AO88" s="13">
        <f t="shared" si="94"/>
        <v>1718.8900763546201</v>
      </c>
      <c r="AP88" s="13">
        <f t="shared" si="94"/>
        <v>1686.6069229294326</v>
      </c>
      <c r="AQ88" s="13">
        <f t="shared" si="94"/>
        <v>1671.1678622833394</v>
      </c>
      <c r="AR88" s="13">
        <f t="shared" si="94"/>
        <v>1626.5169586958411</v>
      </c>
      <c r="AS88" s="13">
        <f t="shared" si="94"/>
        <v>1642.0819365904817</v>
      </c>
      <c r="AT88" s="13">
        <f t="shared" si="94"/>
        <v>1724.5546352849935</v>
      </c>
      <c r="AU88" s="13">
        <f t="shared" si="94"/>
        <v>1645.6943082742116</v>
      </c>
      <c r="AV88" s="13">
        <f t="shared" si="94"/>
        <v>1439.8817870885257</v>
      </c>
      <c r="AW88" s="13">
        <f t="shared" si="94"/>
        <v>1323.7764603085327</v>
      </c>
      <c r="AX88" s="13">
        <f t="shared" si="94"/>
        <v>1277.5540023217463</v>
      </c>
      <c r="AY88" s="63">
        <f t="shared" si="94"/>
        <v>1298.1956313738158</v>
      </c>
      <c r="AZ88" s="64">
        <f t="shared" si="94"/>
        <v>1285.1620325544427</v>
      </c>
      <c r="BA88" s="64">
        <f t="shared" ref="BA88:BB88" si="95">+BA87/(32.15074)/(BA97)</f>
        <v>1284.4612093138471</v>
      </c>
      <c r="BB88" s="65">
        <f t="shared" si="95"/>
        <v>1204.8589601838864</v>
      </c>
      <c r="BC88" s="112">
        <f t="shared" ref="BC88:BD88" si="96">+BC87/(32.15074)/(BC97)</f>
        <v>1221.1245785228714</v>
      </c>
      <c r="BD88" s="113">
        <f t="shared" si="96"/>
        <v>1190.8579330839007</v>
      </c>
      <c r="BE88" s="113">
        <f t="shared" ref="BE88:BF88" si="97">+BE87/(32.15074)/(BE97)</f>
        <v>1122.8706664889048</v>
      </c>
      <c r="BF88" s="114">
        <f t="shared" si="97"/>
        <v>1106.3445200320639</v>
      </c>
      <c r="BG88" s="6"/>
      <c r="BH88" s="6"/>
      <c r="BI88" s="6"/>
    </row>
    <row r="89" spans="2:61" x14ac:dyDescent="0.25">
      <c r="B89" t="s">
        <v>82</v>
      </c>
      <c r="C89" s="14">
        <v>61500</v>
      </c>
      <c r="D89" s="14">
        <v>59128</v>
      </c>
      <c r="E89" s="14">
        <v>59689</v>
      </c>
      <c r="F89" s="14">
        <v>61411</v>
      </c>
      <c r="G89" s="14">
        <v>60315</v>
      </c>
      <c r="H89" s="14">
        <v>70516</v>
      </c>
      <c r="I89" s="14">
        <v>76614</v>
      </c>
      <c r="J89" s="14">
        <v>75849</v>
      </c>
      <c r="K89" s="14">
        <v>75920</v>
      </c>
      <c r="L89" s="14">
        <v>74191</v>
      </c>
      <c r="M89" s="14">
        <v>73484</v>
      </c>
      <c r="N89" s="14">
        <v>71628</v>
      </c>
      <c r="O89" s="14">
        <v>73915</v>
      </c>
      <c r="P89" s="14">
        <v>85445</v>
      </c>
      <c r="Q89" s="14">
        <v>88295</v>
      </c>
      <c r="R89" s="14">
        <v>79369</v>
      </c>
      <c r="S89" s="14">
        <v>92236</v>
      </c>
      <c r="T89" s="14">
        <v>87752</v>
      </c>
      <c r="U89" s="14">
        <v>78077</v>
      </c>
      <c r="V89" s="14">
        <v>84021</v>
      </c>
      <c r="W89" s="14">
        <v>90180</v>
      </c>
      <c r="X89" s="14">
        <v>87019</v>
      </c>
      <c r="Y89" s="14">
        <v>86269</v>
      </c>
      <c r="Z89" s="14">
        <v>91029</v>
      </c>
      <c r="AA89" s="13">
        <v>112514</v>
      </c>
      <c r="AB89" s="13">
        <v>119240</v>
      </c>
      <c r="AC89" s="13">
        <v>153747</v>
      </c>
      <c r="AD89" s="13">
        <v>156689</v>
      </c>
      <c r="AE89" s="13">
        <v>133796</v>
      </c>
      <c r="AF89" s="13">
        <v>145284</v>
      </c>
      <c r="AG89" s="13">
        <v>162818</v>
      </c>
      <c r="AH89" s="13">
        <v>169306</v>
      </c>
      <c r="AI89" s="13">
        <v>237978</v>
      </c>
      <c r="AJ89" s="13">
        <v>196201</v>
      </c>
      <c r="AK89" s="13">
        <v>219277</v>
      </c>
      <c r="AL89" s="13">
        <v>214257</v>
      </c>
      <c r="AM89" s="13">
        <v>208624</v>
      </c>
      <c r="AN89" s="13">
        <v>215148</v>
      </c>
      <c r="AO89" s="13">
        <v>220392</v>
      </c>
      <c r="AP89" s="13">
        <v>221645</v>
      </c>
      <c r="AQ89" s="13">
        <v>258172</v>
      </c>
      <c r="AR89" s="13">
        <v>230275</v>
      </c>
      <c r="AS89" s="13">
        <v>245564</v>
      </c>
      <c r="AT89" s="13">
        <v>318946</v>
      </c>
      <c r="AU89" s="13">
        <v>283964</v>
      </c>
      <c r="AV89" s="13">
        <v>244176</v>
      </c>
      <c r="AW89" s="13">
        <v>268027</v>
      </c>
      <c r="AX89" s="13">
        <v>254265</v>
      </c>
      <c r="AY89" s="63">
        <v>270706</v>
      </c>
      <c r="AZ89" s="64">
        <v>265074</v>
      </c>
      <c r="BA89" s="64">
        <v>296860</v>
      </c>
      <c r="BB89" s="65">
        <v>255177</v>
      </c>
      <c r="BC89" s="112">
        <v>398264</v>
      </c>
      <c r="BD89" s="113">
        <v>313860</v>
      </c>
      <c r="BE89" s="113">
        <v>363650</v>
      </c>
      <c r="BF89" s="114">
        <v>315236</v>
      </c>
      <c r="BG89" s="6"/>
      <c r="BH89" s="6"/>
      <c r="BI89" s="6"/>
    </row>
    <row r="90" spans="2:61" x14ac:dyDescent="0.25">
      <c r="B90" t="s">
        <v>83</v>
      </c>
      <c r="C90" s="14">
        <f>+C89/(32.15074)/(C97)</f>
        <v>165.90322758125504</v>
      </c>
      <c r="D90" s="14">
        <f t="shared" ref="D90:AZ90" si="98">+D89/(32.15074)/(D97)</f>
        <v>174.98446736146587</v>
      </c>
      <c r="E90" s="14">
        <f t="shared" si="98"/>
        <v>178.85701406731914</v>
      </c>
      <c r="F90" s="14">
        <f t="shared" si="98"/>
        <v>195.50624401341918</v>
      </c>
      <c r="G90" s="14">
        <f t="shared" si="98"/>
        <v>223.86713442405642</v>
      </c>
      <c r="H90" s="14">
        <f t="shared" si="98"/>
        <v>283.37121681322043</v>
      </c>
      <c r="I90" s="14">
        <f t="shared" si="98"/>
        <v>320.29062613057397</v>
      </c>
      <c r="J90" s="14">
        <f t="shared" si="98"/>
        <v>348.98936298789238</v>
      </c>
      <c r="K90" s="14">
        <f t="shared" si="98"/>
        <v>347.77267173816398</v>
      </c>
      <c r="L90" s="14">
        <f t="shared" si="98"/>
        <v>349.63613920116944</v>
      </c>
      <c r="M90" s="14">
        <f t="shared" si="98"/>
        <v>359.37238304046701</v>
      </c>
      <c r="N90" s="14">
        <f t="shared" si="98"/>
        <v>364.0327273533191</v>
      </c>
      <c r="O90" s="14">
        <f t="shared" si="98"/>
        <v>386.38890039950093</v>
      </c>
      <c r="P90" s="14">
        <f t="shared" si="98"/>
        <v>415.90565229269379</v>
      </c>
      <c r="Q90" s="14">
        <f t="shared" si="98"/>
        <v>421.20890262900417</v>
      </c>
      <c r="R90" s="14">
        <f t="shared" si="98"/>
        <v>378.04783376762197</v>
      </c>
      <c r="S90" s="14">
        <f t="shared" si="98"/>
        <v>467.24118440613034</v>
      </c>
      <c r="T90" s="14">
        <f t="shared" si="98"/>
        <v>427.13503189172525</v>
      </c>
      <c r="U90" s="14">
        <f t="shared" si="98"/>
        <v>342.03755693897813</v>
      </c>
      <c r="V90" s="14">
        <f t="shared" si="98"/>
        <v>354.11189134662209</v>
      </c>
      <c r="W90" s="14">
        <f t="shared" si="98"/>
        <v>389.03080594835643</v>
      </c>
      <c r="X90" s="14">
        <f t="shared" si="98"/>
        <v>381.74809599940136</v>
      </c>
      <c r="Y90" s="14">
        <f t="shared" si="98"/>
        <v>377.92484341827566</v>
      </c>
      <c r="Z90" s="14">
        <f t="shared" si="98"/>
        <v>418.83416687662134</v>
      </c>
      <c r="AA90" s="13">
        <f t="shared" si="98"/>
        <v>469.74191995488974</v>
      </c>
      <c r="AB90" s="13">
        <f t="shared" si="98"/>
        <v>477.32037726669267</v>
      </c>
      <c r="AC90" s="13">
        <f t="shared" si="98"/>
        <v>617.83814271062158</v>
      </c>
      <c r="AD90" s="13">
        <f t="shared" si="98"/>
        <v>496.29059796550257</v>
      </c>
      <c r="AE90" s="13">
        <f t="shared" si="98"/>
        <v>419.08576356107744</v>
      </c>
      <c r="AF90" s="13">
        <f t="shared" si="98"/>
        <v>527.90168769185584</v>
      </c>
      <c r="AG90" s="13">
        <f t="shared" si="98"/>
        <v>647.59679287419101</v>
      </c>
      <c r="AH90" s="13">
        <f t="shared" si="98"/>
        <v>703.07160467071265</v>
      </c>
      <c r="AI90" s="13">
        <f t="shared" si="98"/>
        <v>986.92596189076835</v>
      </c>
      <c r="AJ90" s="13">
        <f t="shared" si="98"/>
        <v>812.58781603573118</v>
      </c>
      <c r="AK90" s="13">
        <f t="shared" si="98"/>
        <v>926.66827115562228</v>
      </c>
      <c r="AL90" s="13">
        <f t="shared" si="98"/>
        <v>963.02586564580406</v>
      </c>
      <c r="AM90" s="13">
        <f t="shared" si="98"/>
        <v>929.64657158434659</v>
      </c>
      <c r="AN90" s="13">
        <f t="shared" si="98"/>
        <v>986.9988486371343</v>
      </c>
      <c r="AO90" s="13">
        <f t="shared" si="98"/>
        <v>972.33458998905417</v>
      </c>
      <c r="AP90" s="13">
        <f t="shared" si="98"/>
        <v>853.2093470068844</v>
      </c>
      <c r="AQ90" s="13">
        <f t="shared" si="98"/>
        <v>1033.4682693701491</v>
      </c>
      <c r="AR90" s="13">
        <f t="shared" si="98"/>
        <v>888.62960092312414</v>
      </c>
      <c r="AS90" s="13">
        <f t="shared" si="98"/>
        <v>924.68471396998154</v>
      </c>
      <c r="AT90" s="13">
        <f t="shared" si="98"/>
        <v>1144.2135568913084</v>
      </c>
      <c r="AU90" s="13">
        <f t="shared" si="98"/>
        <v>993.50612941857889</v>
      </c>
      <c r="AV90" s="13">
        <f t="shared" si="98"/>
        <v>807.0907654381906</v>
      </c>
      <c r="AW90" s="13">
        <f t="shared" si="98"/>
        <v>835.32798391736253</v>
      </c>
      <c r="AX90" s="13">
        <f t="shared" si="98"/>
        <v>782.24798657970177</v>
      </c>
      <c r="AY90" s="63">
        <f t="shared" si="98"/>
        <v>778.17925239063072</v>
      </c>
      <c r="AZ90" s="64">
        <f t="shared" si="98"/>
        <v>782.97480472360439</v>
      </c>
      <c r="BA90" s="64">
        <f t="shared" ref="BA90:BB90" si="99">+BA89/(32.15074)/(BA97)</f>
        <v>861.3227620609814</v>
      </c>
      <c r="BB90" s="65">
        <f t="shared" si="99"/>
        <v>708.65120722837844</v>
      </c>
      <c r="BC90" s="112">
        <f t="shared" ref="BC90:BD90" si="100">+BC89/(32.15074)/(BC97)</f>
        <v>1058.7519329153272</v>
      </c>
      <c r="BD90" s="113">
        <f t="shared" si="100"/>
        <v>808.79363901599163</v>
      </c>
      <c r="BE90" s="113">
        <f>+BE89/(32.15074)/(BE97)-1</f>
        <v>869.06012686105896</v>
      </c>
      <c r="BF90" s="114">
        <f>+BF89/(32.15074)/(BF97)</f>
        <v>690.00264713186743</v>
      </c>
      <c r="BG90" s="6"/>
      <c r="BH90" s="6"/>
      <c r="BI90" s="6"/>
    </row>
    <row r="91" spans="2:61" x14ac:dyDescent="0.25">
      <c r="B91" t="s">
        <v>84</v>
      </c>
      <c r="C91" s="14">
        <f t="shared" ref="C91:AU91" si="101">+((-C78+C74)*1000000)/(C65)</f>
        <v>68733.657078819568</v>
      </c>
      <c r="D91" s="14">
        <f t="shared" si="101"/>
        <v>67470.304598377028</v>
      </c>
      <c r="E91" s="14">
        <f t="shared" si="101"/>
        <v>74086.415639231374</v>
      </c>
      <c r="F91" s="14">
        <f t="shared" si="101"/>
        <v>76333.113890717577</v>
      </c>
      <c r="G91" s="14">
        <f t="shared" si="101"/>
        <v>73780.750971083296</v>
      </c>
      <c r="H91" s="14">
        <f t="shared" si="101"/>
        <v>87609.85270454266</v>
      </c>
      <c r="I91" s="14">
        <f t="shared" si="101"/>
        <v>94683.327208134273</v>
      </c>
      <c r="J91" s="14">
        <f t="shared" si="101"/>
        <v>89640.95099466278</v>
      </c>
      <c r="K91" s="14">
        <f t="shared" si="101"/>
        <v>86300.14097142125</v>
      </c>
      <c r="L91" s="14">
        <f t="shared" si="101"/>
        <v>86456.653850923976</v>
      </c>
      <c r="M91" s="14">
        <f t="shared" si="101"/>
        <v>83745.327384541175</v>
      </c>
      <c r="N91" s="14">
        <f t="shared" si="101"/>
        <v>81654.63504067836</v>
      </c>
      <c r="O91" s="14">
        <f t="shared" si="101"/>
        <v>84421.743889091566</v>
      </c>
      <c r="P91" s="14">
        <f t="shared" si="101"/>
        <v>95808.98075552388</v>
      </c>
      <c r="Q91" s="14">
        <f t="shared" si="101"/>
        <v>98262.661955241478</v>
      </c>
      <c r="R91" s="14">
        <f t="shared" si="101"/>
        <v>89308.896525391348</v>
      </c>
      <c r="S91" s="14">
        <f t="shared" si="101"/>
        <v>102701.86335403727</v>
      </c>
      <c r="T91" s="14">
        <f t="shared" si="101"/>
        <v>99836.512261580399</v>
      </c>
      <c r="U91" s="14">
        <f t="shared" si="101"/>
        <v>105868.3269307193</v>
      </c>
      <c r="V91" s="14">
        <f t="shared" si="101"/>
        <v>114305.63301728945</v>
      </c>
      <c r="W91" s="14">
        <f t="shared" si="101"/>
        <v>122168.63948560573</v>
      </c>
      <c r="X91" s="14">
        <f t="shared" si="101"/>
        <v>119997.19927181068</v>
      </c>
      <c r="Y91" s="14">
        <f t="shared" si="101"/>
        <v>119975.40647629458</v>
      </c>
      <c r="Z91" s="14">
        <f t="shared" si="101"/>
        <v>127385.42972558852</v>
      </c>
      <c r="AA91" s="13">
        <f t="shared" si="101"/>
        <v>157292.04836936606</v>
      </c>
      <c r="AB91" s="13">
        <f t="shared" si="101"/>
        <v>167939.75255513718</v>
      </c>
      <c r="AC91" s="13">
        <f t="shared" si="101"/>
        <v>210141.65469102853</v>
      </c>
      <c r="AD91" s="13">
        <f t="shared" si="101"/>
        <v>216981.13207547169</v>
      </c>
      <c r="AE91" s="13">
        <f t="shared" si="101"/>
        <v>182611.91268960416</v>
      </c>
      <c r="AF91" s="13">
        <f t="shared" si="101"/>
        <v>201458.83293365309</v>
      </c>
      <c r="AG91" s="13">
        <f t="shared" si="101"/>
        <v>217456.21019108279</v>
      </c>
      <c r="AH91" s="13">
        <f t="shared" si="101"/>
        <v>233803.96971557193</v>
      </c>
      <c r="AI91" s="13">
        <f t="shared" si="101"/>
        <v>327482.05741626793</v>
      </c>
      <c r="AJ91" s="13">
        <f t="shared" si="101"/>
        <v>274319.06614785991</v>
      </c>
      <c r="AK91" s="13">
        <f t="shared" si="101"/>
        <v>308487.99802029203</v>
      </c>
      <c r="AL91" s="13">
        <f t="shared" si="101"/>
        <v>298138.23004335631</v>
      </c>
      <c r="AM91" s="13">
        <f t="shared" si="101"/>
        <v>269721.54636388214</v>
      </c>
      <c r="AN91" s="13">
        <f t="shared" si="101"/>
        <v>277336.77782996715</v>
      </c>
      <c r="AO91" s="13">
        <f t="shared" si="101"/>
        <v>274723.50230414746</v>
      </c>
      <c r="AP91" s="13">
        <f t="shared" si="101"/>
        <v>290259.74025974027</v>
      </c>
      <c r="AQ91" s="13">
        <f t="shared" si="101"/>
        <v>326062.94864715624</v>
      </c>
      <c r="AR91" s="13">
        <f t="shared" si="101"/>
        <v>306750.57208237989</v>
      </c>
      <c r="AS91" s="13">
        <f t="shared" si="101"/>
        <v>318085.10638297873</v>
      </c>
      <c r="AT91" s="13">
        <f t="shared" si="101"/>
        <v>452823.12925170065</v>
      </c>
      <c r="AU91" s="13">
        <f t="shared" si="101"/>
        <v>367927.21069092979</v>
      </c>
      <c r="AV91" s="13">
        <f>+((-AV78+AV74)*1000000)/(AV65)</f>
        <v>319739.59544292022</v>
      </c>
      <c r="AW91" s="13">
        <f>+((-AW78+AW74)*1000000)/(AW65)</f>
        <v>348392.68051434221</v>
      </c>
      <c r="AX91" s="13">
        <f>+((-AX78+AX74)*1000000)/(AX65)</f>
        <v>325613.60874848114</v>
      </c>
      <c r="AY91" s="75" t="s">
        <v>85</v>
      </c>
      <c r="AZ91" s="76" t="s">
        <v>85</v>
      </c>
      <c r="BA91" s="76" t="s">
        <v>85</v>
      </c>
      <c r="BB91" s="77" t="s">
        <v>85</v>
      </c>
      <c r="BC91" s="122" t="s">
        <v>85</v>
      </c>
      <c r="BD91" s="123" t="s">
        <v>85</v>
      </c>
      <c r="BE91" s="123" t="s">
        <v>85</v>
      </c>
      <c r="BF91" s="124" t="s">
        <v>85</v>
      </c>
      <c r="BG91" s="6"/>
      <c r="BH91" s="6"/>
      <c r="BI91" s="6"/>
    </row>
    <row r="92" spans="2:61" x14ac:dyDescent="0.25">
      <c r="B92" t="s">
        <v>86</v>
      </c>
      <c r="C92" s="14">
        <f>+C91/(32.15074)/(C97)</f>
        <v>185.4168382575503</v>
      </c>
      <c r="D92" s="14">
        <f t="shared" ref="D92:AX92" si="102">+D91/(32.15074)/(D97)</f>
        <v>199.67283373127563</v>
      </c>
      <c r="E92" s="14">
        <f t="shared" si="102"/>
        <v>221.99861086939404</v>
      </c>
      <c r="F92" s="14">
        <f t="shared" si="102"/>
        <v>243.01184463081123</v>
      </c>
      <c r="G92" s="14">
        <f t="shared" si="102"/>
        <v>273.84705787202745</v>
      </c>
      <c r="H92" s="14">
        <f t="shared" si="102"/>
        <v>352.06351134087669</v>
      </c>
      <c r="I92" s="14">
        <f t="shared" si="102"/>
        <v>395.8308162427146</v>
      </c>
      <c r="J92" s="14">
        <f t="shared" si="102"/>
        <v>412.44760491577</v>
      </c>
      <c r="K92" s="14">
        <f t="shared" si="102"/>
        <v>395.32179395431189</v>
      </c>
      <c r="L92" s="14">
        <f t="shared" si="102"/>
        <v>407.43986010013316</v>
      </c>
      <c r="M92" s="14">
        <f t="shared" si="102"/>
        <v>409.55524836272718</v>
      </c>
      <c r="N92" s="14">
        <f t="shared" si="102"/>
        <v>414.99077867451336</v>
      </c>
      <c r="O92" s="14">
        <f t="shared" si="102"/>
        <v>441.31265360365796</v>
      </c>
      <c r="P92" s="14">
        <f t="shared" si="102"/>
        <v>466.35258513224068</v>
      </c>
      <c r="Q92" s="14">
        <f t="shared" si="102"/>
        <v>468.75936362842816</v>
      </c>
      <c r="R92" s="14">
        <f t="shared" si="102"/>
        <v>425.39322490646089</v>
      </c>
      <c r="S92" s="14">
        <f t="shared" si="102"/>
        <v>520.25825354803908</v>
      </c>
      <c r="T92" s="14">
        <f t="shared" si="102"/>
        <v>485.95669442073984</v>
      </c>
      <c r="U92" s="14">
        <f t="shared" si="102"/>
        <v>463.78503145100677</v>
      </c>
      <c r="V92" s="14">
        <f t="shared" si="102"/>
        <v>481.74841883963848</v>
      </c>
      <c r="W92" s="14">
        <f t="shared" si="102"/>
        <v>527.02776980150145</v>
      </c>
      <c r="X92" s="14">
        <f t="shared" si="102"/>
        <v>526.42184289953309</v>
      </c>
      <c r="Y92" s="14">
        <f t="shared" si="102"/>
        <v>525.58493440978339</v>
      </c>
      <c r="Z92" s="14">
        <f t="shared" si="102"/>
        <v>586.11398929283257</v>
      </c>
      <c r="AA92" s="13">
        <f t="shared" si="102"/>
        <v>656.68866802943091</v>
      </c>
      <c r="AB92" s="13">
        <f t="shared" si="102"/>
        <v>672.26657202023739</v>
      </c>
      <c r="AC92" s="13">
        <f t="shared" si="102"/>
        <v>844.46219854983747</v>
      </c>
      <c r="AD92" s="13">
        <f t="shared" si="102"/>
        <v>687.25753425554785</v>
      </c>
      <c r="AE92" s="13">
        <f t="shared" si="102"/>
        <v>571.99058914221325</v>
      </c>
      <c r="AF92" s="13">
        <f t="shared" si="102"/>
        <v>732.01768884465662</v>
      </c>
      <c r="AG92" s="13">
        <f t="shared" si="102"/>
        <v>864.91631337027354</v>
      </c>
      <c r="AH92" s="13">
        <f t="shared" si="102"/>
        <v>970.91025814979901</v>
      </c>
      <c r="AI92" s="13">
        <f t="shared" si="102"/>
        <v>1358.1110208402376</v>
      </c>
      <c r="AJ92" s="13">
        <f t="shared" si="102"/>
        <v>1136.1222973279991</v>
      </c>
      <c r="AK92" s="13">
        <f t="shared" si="102"/>
        <v>1303.6754415543951</v>
      </c>
      <c r="AL92" s="13">
        <f t="shared" si="102"/>
        <v>1340.0487595252948</v>
      </c>
      <c r="AM92" s="13">
        <f t="shared" si="102"/>
        <v>1201.9025177333931</v>
      </c>
      <c r="AN92" s="13">
        <f t="shared" si="102"/>
        <v>1272.2920055167153</v>
      </c>
      <c r="AO92" s="13">
        <f t="shared" si="102"/>
        <v>1212.0365710790784</v>
      </c>
      <c r="AP92" s="13">
        <f t="shared" si="102"/>
        <v>1117.3377403027403</v>
      </c>
      <c r="AQ92" s="13">
        <f t="shared" si="102"/>
        <v>1305.2372497563811</v>
      </c>
      <c r="AR92" s="13">
        <f t="shared" si="102"/>
        <v>1183.7482942243198</v>
      </c>
      <c r="AS92" s="13">
        <f t="shared" si="102"/>
        <v>1197.7669186601288</v>
      </c>
      <c r="AT92" s="13">
        <f t="shared" si="102"/>
        <v>1624.4955677880928</v>
      </c>
      <c r="AU92" s="13">
        <f t="shared" si="102"/>
        <v>1287.2685939109169</v>
      </c>
      <c r="AV92" s="13">
        <f t="shared" si="102"/>
        <v>1056.856017081629</v>
      </c>
      <c r="AW92" s="13">
        <f t="shared" si="102"/>
        <v>1085.7941753092459</v>
      </c>
      <c r="AX92" s="13">
        <f t="shared" si="102"/>
        <v>1001.7524623776379</v>
      </c>
      <c r="AY92" s="75" t="s">
        <v>85</v>
      </c>
      <c r="AZ92" s="76" t="s">
        <v>85</v>
      </c>
      <c r="BA92" s="76" t="s">
        <v>85</v>
      </c>
      <c r="BB92" s="77" t="s">
        <v>85</v>
      </c>
      <c r="BC92" s="122" t="s">
        <v>85</v>
      </c>
      <c r="BD92" s="123" t="s">
        <v>85</v>
      </c>
      <c r="BE92" s="123" t="s">
        <v>85</v>
      </c>
      <c r="BF92" s="124" t="s">
        <v>85</v>
      </c>
      <c r="BG92" s="6"/>
      <c r="BH92" s="6"/>
      <c r="BI92" s="6"/>
    </row>
    <row r="93" spans="2:61" x14ac:dyDescent="0.25">
      <c r="B93" t="s">
        <v>87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103">
        <v>289122</v>
      </c>
      <c r="AN93" s="103"/>
      <c r="AO93" s="103"/>
      <c r="AP93" s="103"/>
      <c r="AQ93" s="103">
        <v>329517</v>
      </c>
      <c r="AR93" s="103"/>
      <c r="AS93" s="103">
        <v>384588</v>
      </c>
      <c r="AT93" s="103"/>
      <c r="AU93" s="13">
        <v>383878</v>
      </c>
      <c r="AV93" s="13">
        <v>334457</v>
      </c>
      <c r="AW93" s="13">
        <v>362834</v>
      </c>
      <c r="AX93" s="13">
        <v>339757</v>
      </c>
      <c r="AY93" s="63">
        <v>347754</v>
      </c>
      <c r="AZ93" s="64">
        <v>342579</v>
      </c>
      <c r="BA93" s="64">
        <v>378311</v>
      </c>
      <c r="BB93" s="65">
        <v>343468</v>
      </c>
      <c r="BC93" s="112">
        <v>502068</v>
      </c>
      <c r="BD93" s="113">
        <v>391309</v>
      </c>
      <c r="BE93" s="113">
        <v>449297</v>
      </c>
      <c r="BF93" s="114">
        <v>388554</v>
      </c>
      <c r="BG93" s="6"/>
      <c r="BH93" s="6"/>
      <c r="BI93" s="6"/>
    </row>
    <row r="94" spans="2:61" x14ac:dyDescent="0.25">
      <c r="B94" t="s">
        <v>88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103">
        <v>1246</v>
      </c>
      <c r="AN94" s="103"/>
      <c r="AO94" s="103"/>
      <c r="AP94" s="103"/>
      <c r="AQ94" s="103">
        <v>1294</v>
      </c>
      <c r="AR94" s="103"/>
      <c r="AS94" s="103">
        <v>1412</v>
      </c>
      <c r="AT94" s="103"/>
      <c r="AU94" s="13">
        <f t="shared" ref="AU94:AZ94" si="103">+AU93/(32.15074)/(AU97)</f>
        <v>1343.075692513647</v>
      </c>
      <c r="AV94" s="13">
        <f t="shared" si="103"/>
        <v>1105.5024086567103</v>
      </c>
      <c r="AW94" s="13">
        <f t="shared" si="103"/>
        <v>1130.8017241422406</v>
      </c>
      <c r="AX94" s="13">
        <f t="shared" si="103"/>
        <v>1045.2647009079492</v>
      </c>
      <c r="AY94" s="63">
        <f t="shared" si="103"/>
        <v>999.66364888791293</v>
      </c>
      <c r="AZ94" s="64">
        <f t="shared" si="103"/>
        <v>1011.9088466896325</v>
      </c>
      <c r="BA94" s="64">
        <f t="shared" ref="BA94:BB94" si="104">+BA93/(32.15074)/(BA97)</f>
        <v>1097.6483037056253</v>
      </c>
      <c r="BB94" s="65">
        <f t="shared" si="104"/>
        <v>953.84385287199348</v>
      </c>
      <c r="BC94" s="112">
        <f t="shared" ref="BC94:BD94" si="105">+BC93/(32.15074)/(BC97)</f>
        <v>1334.7062889312929</v>
      </c>
      <c r="BD94" s="113">
        <f t="shared" si="105"/>
        <v>1008.373893104278</v>
      </c>
      <c r="BE94" s="113">
        <f t="shared" ref="BE94:BF94" si="106">+BE93/(32.15074)/(BE97)</f>
        <v>1074.9770516108708</v>
      </c>
      <c r="BF94" s="114">
        <f t="shared" si="106"/>
        <v>850.48436267962927</v>
      </c>
      <c r="BG94" s="6"/>
      <c r="BH94" s="6"/>
      <c r="BI94" s="6"/>
    </row>
    <row r="95" spans="2:61" x14ac:dyDescent="0.25">
      <c r="B95" t="s">
        <v>89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103">
        <f>+AM93</f>
        <v>289122</v>
      </c>
      <c r="AN95" s="103"/>
      <c r="AO95" s="103"/>
      <c r="AP95" s="103"/>
      <c r="AQ95" s="103">
        <f>+AQ93</f>
        <v>329517</v>
      </c>
      <c r="AR95" s="103"/>
      <c r="AS95" s="103">
        <f>+AS93</f>
        <v>384588</v>
      </c>
      <c r="AT95" s="103"/>
      <c r="AU95" s="13">
        <f t="shared" ref="AU95:AY95" si="107">+AU93</f>
        <v>383878</v>
      </c>
      <c r="AV95" s="13">
        <f t="shared" si="107"/>
        <v>334457</v>
      </c>
      <c r="AW95" s="13">
        <f t="shared" si="107"/>
        <v>362834</v>
      </c>
      <c r="AX95" s="13">
        <f t="shared" si="107"/>
        <v>339757</v>
      </c>
      <c r="AY95" s="63">
        <f t="shared" si="107"/>
        <v>347754</v>
      </c>
      <c r="AZ95" s="64">
        <v>342579</v>
      </c>
      <c r="BA95" s="64">
        <f>+BA93</f>
        <v>378311</v>
      </c>
      <c r="BB95" s="65">
        <f>+BB93</f>
        <v>343468</v>
      </c>
      <c r="BC95" s="112">
        <f>+BC93</f>
        <v>502068</v>
      </c>
      <c r="BD95" s="113">
        <v>391797</v>
      </c>
      <c r="BE95" s="113">
        <v>455635</v>
      </c>
      <c r="BF95" s="114">
        <v>398519</v>
      </c>
      <c r="BG95" s="6"/>
      <c r="BH95" s="6"/>
      <c r="BI95" s="6"/>
    </row>
    <row r="96" spans="2:61" x14ac:dyDescent="0.25">
      <c r="B96" t="s">
        <v>90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103">
        <f>+AM94</f>
        <v>1246</v>
      </c>
      <c r="AN96" s="103"/>
      <c r="AO96" s="103"/>
      <c r="AP96" s="103"/>
      <c r="AQ96" s="103">
        <f>+AQ94</f>
        <v>1294</v>
      </c>
      <c r="AR96" s="103"/>
      <c r="AS96" s="103">
        <f>+AS94</f>
        <v>1412</v>
      </c>
      <c r="AT96" s="103"/>
      <c r="AU96" s="13">
        <f t="shared" ref="AU96:AZ96" si="108">+AU95/(32.15074)/(AU97)</f>
        <v>1343.075692513647</v>
      </c>
      <c r="AV96" s="13">
        <f t="shared" si="108"/>
        <v>1105.5024086567103</v>
      </c>
      <c r="AW96" s="13">
        <f t="shared" si="108"/>
        <v>1130.8017241422406</v>
      </c>
      <c r="AX96" s="13">
        <f t="shared" si="108"/>
        <v>1045.2647009079492</v>
      </c>
      <c r="AY96" s="63">
        <f t="shared" si="108"/>
        <v>999.66364888791293</v>
      </c>
      <c r="AZ96" s="64">
        <f t="shared" si="108"/>
        <v>1011.9088466896325</v>
      </c>
      <c r="BA96" s="64">
        <f t="shared" ref="BA96:BB96" si="109">+BA95/(32.15074)/(BA97)</f>
        <v>1097.6483037056253</v>
      </c>
      <c r="BB96" s="65">
        <f t="shared" si="109"/>
        <v>953.84385287199348</v>
      </c>
      <c r="BC96" s="112">
        <f t="shared" ref="BC96" si="110">+BC95/(32.15074)/(BC97)</f>
        <v>1334.7062889312929</v>
      </c>
      <c r="BD96" s="113">
        <f>+BD95/(32.15074)/(BD97)-1</f>
        <v>1008.6314324397771</v>
      </c>
      <c r="BE96" s="113">
        <f>+BE95/(32.15074)/(BE97)</f>
        <v>1090.1411959365835</v>
      </c>
      <c r="BF96" s="114">
        <f>+BF95/(32.15074)/(BF97)</f>
        <v>872.29620009245355</v>
      </c>
      <c r="BG96" s="6"/>
      <c r="BH96" s="6"/>
      <c r="BI96" s="6"/>
    </row>
    <row r="97" spans="2:61" x14ac:dyDescent="0.25">
      <c r="B97" s="35" t="s">
        <v>91</v>
      </c>
      <c r="C97" s="36">
        <f>+C48</f>
        <v>11.53</v>
      </c>
      <c r="D97" s="36">
        <f t="shared" ref="D97:AZ97" si="111">+D48</f>
        <v>10.51</v>
      </c>
      <c r="E97" s="36">
        <f t="shared" si="111"/>
        <v>10.38</v>
      </c>
      <c r="F97" s="36">
        <f t="shared" si="111"/>
        <v>9.77</v>
      </c>
      <c r="G97" s="36">
        <f t="shared" si="111"/>
        <v>8.3800000000000008</v>
      </c>
      <c r="H97" s="36">
        <f t="shared" si="111"/>
        <v>7.74</v>
      </c>
      <c r="I97" s="36">
        <f t="shared" si="111"/>
        <v>7.44</v>
      </c>
      <c r="J97" s="36">
        <f t="shared" si="111"/>
        <v>6.76</v>
      </c>
      <c r="K97" s="36">
        <f t="shared" si="111"/>
        <v>6.79</v>
      </c>
      <c r="L97" s="36">
        <f t="shared" si="111"/>
        <v>6.6</v>
      </c>
      <c r="M97" s="36">
        <f t="shared" si="111"/>
        <v>6.36</v>
      </c>
      <c r="N97" s="36">
        <f t="shared" si="111"/>
        <v>6.12</v>
      </c>
      <c r="O97" s="36">
        <f t="shared" si="111"/>
        <v>5.95</v>
      </c>
      <c r="P97" s="36">
        <f t="shared" si="111"/>
        <v>6.39</v>
      </c>
      <c r="Q97" s="36">
        <f t="shared" si="111"/>
        <v>6.52</v>
      </c>
      <c r="R97" s="36">
        <f t="shared" si="111"/>
        <v>6.53</v>
      </c>
      <c r="S97" s="36">
        <f t="shared" si="111"/>
        <v>6.14</v>
      </c>
      <c r="T97" s="36">
        <f t="shared" si="111"/>
        <v>6.39</v>
      </c>
      <c r="U97" s="36">
        <f t="shared" si="111"/>
        <v>7.1</v>
      </c>
      <c r="V97" s="36">
        <f t="shared" si="111"/>
        <v>7.38</v>
      </c>
      <c r="W97" s="36">
        <f t="shared" si="111"/>
        <v>7.21</v>
      </c>
      <c r="X97" s="36">
        <f t="shared" si="111"/>
        <v>7.09</v>
      </c>
      <c r="Y97" s="36">
        <f t="shared" si="111"/>
        <v>7.1</v>
      </c>
      <c r="Z97" s="36">
        <f t="shared" si="111"/>
        <v>6.76</v>
      </c>
      <c r="AA97" s="37">
        <f t="shared" si="111"/>
        <v>7.45</v>
      </c>
      <c r="AB97" s="37">
        <f t="shared" si="111"/>
        <v>7.77</v>
      </c>
      <c r="AC97" s="37">
        <f t="shared" si="111"/>
        <v>7.74</v>
      </c>
      <c r="AD97" s="37">
        <f t="shared" si="111"/>
        <v>9.82</v>
      </c>
      <c r="AE97" s="37">
        <f t="shared" si="111"/>
        <v>9.93</v>
      </c>
      <c r="AF97" s="37">
        <f t="shared" si="111"/>
        <v>8.56</v>
      </c>
      <c r="AG97" s="37">
        <f t="shared" si="111"/>
        <v>7.82</v>
      </c>
      <c r="AH97" s="37">
        <f t="shared" si="111"/>
        <v>7.49</v>
      </c>
      <c r="AI97" s="37">
        <f t="shared" si="111"/>
        <v>7.5</v>
      </c>
      <c r="AJ97" s="37">
        <f t="shared" si="111"/>
        <v>7.51</v>
      </c>
      <c r="AK97" s="37">
        <f t="shared" si="111"/>
        <v>7.36</v>
      </c>
      <c r="AL97" s="37">
        <f t="shared" si="111"/>
        <v>6.92</v>
      </c>
      <c r="AM97" s="37">
        <f t="shared" si="111"/>
        <v>6.98</v>
      </c>
      <c r="AN97" s="37">
        <f t="shared" si="111"/>
        <v>6.78</v>
      </c>
      <c r="AO97" s="37">
        <f t="shared" si="111"/>
        <v>7.05</v>
      </c>
      <c r="AP97" s="37">
        <f t="shared" si="111"/>
        <v>8.08</v>
      </c>
      <c r="AQ97" s="37">
        <f t="shared" si="111"/>
        <v>7.77</v>
      </c>
      <c r="AR97" s="37">
        <f t="shared" si="111"/>
        <v>8.06</v>
      </c>
      <c r="AS97" s="37">
        <f t="shared" si="111"/>
        <v>8.26</v>
      </c>
      <c r="AT97" s="37">
        <f t="shared" si="111"/>
        <v>8.67</v>
      </c>
      <c r="AU97" s="37">
        <f t="shared" si="111"/>
        <v>8.89</v>
      </c>
      <c r="AV97" s="37">
        <f t="shared" si="111"/>
        <v>9.41</v>
      </c>
      <c r="AW97" s="37">
        <f t="shared" si="111"/>
        <v>9.98</v>
      </c>
      <c r="AX97" s="37">
        <f t="shared" si="111"/>
        <v>10.11</v>
      </c>
      <c r="AY97" s="78">
        <f t="shared" si="111"/>
        <v>10.82</v>
      </c>
      <c r="AZ97" s="79">
        <f t="shared" si="111"/>
        <v>10.53</v>
      </c>
      <c r="BA97" s="79">
        <f t="shared" ref="BA97:BB97" si="112">+BA48</f>
        <v>10.72</v>
      </c>
      <c r="BB97" s="80">
        <f t="shared" si="112"/>
        <v>11.2</v>
      </c>
      <c r="BC97" s="125">
        <f>+BC48</f>
        <v>11.7</v>
      </c>
      <c r="BD97" s="126">
        <f>+BD48</f>
        <v>12.07</v>
      </c>
      <c r="BE97" s="126">
        <f>+BE48</f>
        <v>13</v>
      </c>
      <c r="BF97" s="127">
        <f>+BF48</f>
        <v>14.21</v>
      </c>
      <c r="BG97" s="6"/>
      <c r="BH97" s="6"/>
      <c r="BI97" s="6"/>
    </row>
    <row r="98" spans="2:61" x14ac:dyDescent="0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59"/>
      <c r="AZ98" s="57"/>
      <c r="BA98" s="57"/>
      <c r="BB98" s="58"/>
      <c r="BC98" s="128"/>
      <c r="BD98" s="129"/>
      <c r="BE98" s="129"/>
      <c r="BF98" s="130"/>
      <c r="BG98" s="6"/>
      <c r="BH98" s="6"/>
      <c r="BI98" s="6"/>
    </row>
    <row r="99" spans="2:61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59"/>
      <c r="AZ99" s="57"/>
      <c r="BA99" s="57"/>
      <c r="BB99" s="58"/>
      <c r="BC99" s="128"/>
      <c r="BD99" s="129"/>
      <c r="BE99" s="129"/>
      <c r="BF99" s="130"/>
      <c r="BG99" s="6"/>
      <c r="BH99" s="6"/>
      <c r="BI99" s="6"/>
    </row>
    <row r="100" spans="2:61" x14ac:dyDescent="0.2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81"/>
      <c r="AZ100" s="82"/>
      <c r="BA100" s="82"/>
      <c r="BB100" s="83"/>
      <c r="BC100" s="131"/>
      <c r="BD100" s="132"/>
      <c r="BE100" s="132"/>
      <c r="BF100" s="133"/>
    </row>
    <row r="101" spans="2:61" x14ac:dyDescent="0.2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81"/>
      <c r="AZ101" s="82"/>
      <c r="BA101" s="82"/>
      <c r="BB101" s="83"/>
      <c r="BC101" s="131"/>
      <c r="BD101" s="132"/>
      <c r="BE101" s="132"/>
      <c r="BF101" s="133"/>
    </row>
    <row r="102" spans="2:61" ht="21" x14ac:dyDescent="0.35">
      <c r="B102" s="38" t="s">
        <v>93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59"/>
      <c r="AZ102" s="82"/>
      <c r="BA102" s="82"/>
      <c r="BB102" s="83"/>
      <c r="BC102" s="131"/>
      <c r="BD102" s="132"/>
      <c r="BE102" s="132"/>
      <c r="BF102" s="133"/>
    </row>
    <row r="103" spans="2:61" x14ac:dyDescent="0.25">
      <c r="B103" s="8" t="s">
        <v>51</v>
      </c>
      <c r="C103" s="14">
        <v>8465</v>
      </c>
      <c r="D103" s="14">
        <v>9975</v>
      </c>
      <c r="E103" s="14">
        <v>11404</v>
      </c>
      <c r="F103" s="14">
        <v>12314</v>
      </c>
      <c r="G103" s="14">
        <v>11133</v>
      </c>
      <c r="H103" s="14">
        <v>11318</v>
      </c>
      <c r="I103" s="14">
        <v>11792</v>
      </c>
      <c r="J103" s="14">
        <v>11529</v>
      </c>
      <c r="K103" s="14">
        <v>10044</v>
      </c>
      <c r="L103" s="14">
        <v>10170</v>
      </c>
      <c r="M103" s="14">
        <v>9964</v>
      </c>
      <c r="N103" s="14">
        <v>9450</v>
      </c>
      <c r="O103" s="14">
        <v>9555</v>
      </c>
      <c r="P103" s="14">
        <v>9471</v>
      </c>
      <c r="Q103" s="14">
        <v>7530</v>
      </c>
      <c r="R103" s="14">
        <v>9072</v>
      </c>
      <c r="S103" s="14">
        <v>9221</v>
      </c>
      <c r="T103" s="14">
        <v>10041</v>
      </c>
      <c r="U103" s="14">
        <v>10995</v>
      </c>
      <c r="V103" s="14">
        <v>11416</v>
      </c>
      <c r="W103" s="14">
        <v>10364</v>
      </c>
      <c r="X103" s="14">
        <v>11016</v>
      </c>
      <c r="Y103" s="14">
        <v>11251</v>
      </c>
      <c r="Z103" s="14">
        <v>10653</v>
      </c>
      <c r="AA103" s="13">
        <f>7183+2058</f>
        <v>9241</v>
      </c>
      <c r="AB103" s="13">
        <f>7301+2352</f>
        <v>9653</v>
      </c>
      <c r="AC103" s="13">
        <v>9260</v>
      </c>
      <c r="AD103" s="13">
        <v>8054</v>
      </c>
      <c r="AE103" s="13">
        <v>7251</v>
      </c>
      <c r="AF103" s="13">
        <v>8065</v>
      </c>
      <c r="AG103" s="13">
        <f>5041+1973</f>
        <v>7014</v>
      </c>
      <c r="AH103" s="13">
        <f>5837+2042</f>
        <v>7879</v>
      </c>
      <c r="AI103" s="13">
        <f>5146+1743</f>
        <v>6889</v>
      </c>
      <c r="AJ103" s="13">
        <f>5839+2151</f>
        <v>7990</v>
      </c>
      <c r="AK103" s="13">
        <f>4779+1707</f>
        <v>6486</v>
      </c>
      <c r="AL103" s="13">
        <f>4436+1755</f>
        <v>6191</v>
      </c>
      <c r="AM103" s="13">
        <v>5135</v>
      </c>
      <c r="AN103" s="13">
        <v>6682</v>
      </c>
      <c r="AO103" s="13">
        <v>5442</v>
      </c>
      <c r="AP103" s="13">
        <v>6123</v>
      </c>
      <c r="AQ103" s="13">
        <v>5151</v>
      </c>
      <c r="AR103" s="13">
        <v>6116</v>
      </c>
      <c r="AS103" s="13">
        <v>4986</v>
      </c>
      <c r="AT103" s="13">
        <v>3863</v>
      </c>
      <c r="AU103" s="13">
        <v>3992</v>
      </c>
      <c r="AV103" s="13">
        <v>4838</v>
      </c>
      <c r="AW103" s="13">
        <v>4390</v>
      </c>
      <c r="AX103" s="13">
        <v>4311</v>
      </c>
      <c r="AY103" s="59">
        <v>3520</v>
      </c>
      <c r="AZ103" s="82">
        <f>4306+993</f>
        <v>5299</v>
      </c>
      <c r="BA103" s="82">
        <v>5024</v>
      </c>
      <c r="BB103" s="83">
        <v>5890</v>
      </c>
      <c r="BC103" s="134">
        <v>4627</v>
      </c>
      <c r="BD103" s="135">
        <v>5680</v>
      </c>
      <c r="BE103" s="135">
        <v>5957</v>
      </c>
      <c r="BF103" s="136">
        <v>5335</v>
      </c>
    </row>
    <row r="104" spans="2:61" x14ac:dyDescent="0.25">
      <c r="B104" s="8" t="s">
        <v>52</v>
      </c>
      <c r="C104" s="14">
        <v>170638</v>
      </c>
      <c r="D104" s="14">
        <v>184591</v>
      </c>
      <c r="E104" s="14">
        <v>197967</v>
      </c>
      <c r="F104" s="14">
        <v>205176</v>
      </c>
      <c r="G104" s="14">
        <v>188363</v>
      </c>
      <c r="H104" s="14">
        <v>199996</v>
      </c>
      <c r="I104" s="14">
        <v>197942</v>
      </c>
      <c r="J104" s="14">
        <v>200986</v>
      </c>
      <c r="K104" s="14">
        <v>181102</v>
      </c>
      <c r="L104" s="14">
        <v>197606</v>
      </c>
      <c r="M104" s="14">
        <v>205744</v>
      </c>
      <c r="N104" s="14">
        <v>203051</v>
      </c>
      <c r="O104" s="14">
        <v>176537</v>
      </c>
      <c r="P104" s="14">
        <v>177703</v>
      </c>
      <c r="Q104" s="14">
        <v>147948</v>
      </c>
      <c r="R104" s="14">
        <v>186204</v>
      </c>
      <c r="S104" s="14">
        <v>173142</v>
      </c>
      <c r="T104" s="14">
        <v>178544</v>
      </c>
      <c r="U104" s="14">
        <v>189811</v>
      </c>
      <c r="V104" s="14">
        <v>177732</v>
      </c>
      <c r="W104" s="14">
        <v>161699</v>
      </c>
      <c r="X104" s="14">
        <v>173441</v>
      </c>
      <c r="Y104" s="14">
        <v>173453</v>
      </c>
      <c r="Z104" s="14">
        <v>161372</v>
      </c>
      <c r="AA104" s="13">
        <v>138809</v>
      </c>
      <c r="AB104" s="13">
        <v>151494</v>
      </c>
      <c r="AC104" s="13">
        <v>139182</v>
      </c>
      <c r="AD104" s="13">
        <v>148811</v>
      </c>
      <c r="AE104" s="13">
        <v>131251</v>
      </c>
      <c r="AF104" s="13">
        <v>145927</v>
      </c>
      <c r="AG104" s="13">
        <v>137481</v>
      </c>
      <c r="AH104" s="13">
        <v>137337</v>
      </c>
      <c r="AI104" s="13">
        <v>124697</v>
      </c>
      <c r="AJ104" s="13">
        <v>132249</v>
      </c>
      <c r="AK104" s="13">
        <v>132295</v>
      </c>
      <c r="AL104" s="13">
        <v>120584</v>
      </c>
      <c r="AM104" s="13">
        <v>96096</v>
      </c>
      <c r="AN104" s="13">
        <v>136896</v>
      </c>
      <c r="AO104" s="13">
        <v>105283</v>
      </c>
      <c r="AP104" s="13">
        <v>124876</v>
      </c>
      <c r="AQ104" s="13">
        <v>100653</v>
      </c>
      <c r="AR104" s="13">
        <v>116030</v>
      </c>
      <c r="AS104" s="13">
        <v>101033</v>
      </c>
      <c r="AT104" s="13">
        <v>74696</v>
      </c>
      <c r="AU104" s="13">
        <v>90434</v>
      </c>
      <c r="AV104" s="13">
        <v>107481</v>
      </c>
      <c r="AW104" s="13">
        <v>113875</v>
      </c>
      <c r="AX104" s="13">
        <v>122648</v>
      </c>
      <c r="AY104" s="59">
        <v>89698</v>
      </c>
      <c r="AZ104" s="57">
        <v>106764</v>
      </c>
      <c r="BA104" s="57">
        <v>89381</v>
      </c>
      <c r="BB104" s="58">
        <v>98858</v>
      </c>
      <c r="BC104" s="108">
        <v>92289</v>
      </c>
      <c r="BD104" s="106">
        <v>109754</v>
      </c>
      <c r="BE104" s="106">
        <v>111964</v>
      </c>
      <c r="BF104" s="107">
        <v>102677</v>
      </c>
    </row>
    <row r="105" spans="2:61" x14ac:dyDescent="0.25">
      <c r="B105" s="8" t="s">
        <v>53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59"/>
      <c r="AZ105" s="82"/>
      <c r="BA105" s="82"/>
      <c r="BB105" s="83"/>
      <c r="BC105" s="134"/>
      <c r="BD105" s="135"/>
      <c r="BE105" s="135"/>
      <c r="BF105" s="136"/>
    </row>
    <row r="106" spans="2:61" x14ac:dyDescent="0.25">
      <c r="B106" t="s">
        <v>54</v>
      </c>
      <c r="C106" s="14">
        <v>821</v>
      </c>
      <c r="D106" s="14">
        <v>979</v>
      </c>
      <c r="E106" s="14">
        <v>1015</v>
      </c>
      <c r="F106" s="14">
        <v>1009</v>
      </c>
      <c r="G106" s="14">
        <v>1027</v>
      </c>
      <c r="H106" s="14">
        <v>1002</v>
      </c>
      <c r="I106" s="14">
        <v>1054</v>
      </c>
      <c r="J106" s="14">
        <v>1000</v>
      </c>
      <c r="K106" s="14">
        <v>1003</v>
      </c>
      <c r="L106" s="14">
        <v>968</v>
      </c>
      <c r="M106" s="14">
        <v>1029</v>
      </c>
      <c r="N106" s="14">
        <v>1016</v>
      </c>
      <c r="O106" s="14">
        <v>897</v>
      </c>
      <c r="P106" s="14">
        <v>910</v>
      </c>
      <c r="Q106" s="14">
        <v>831</v>
      </c>
      <c r="R106" s="14">
        <v>931</v>
      </c>
      <c r="S106" s="14">
        <v>905</v>
      </c>
      <c r="T106" s="14">
        <v>884</v>
      </c>
      <c r="U106" s="14">
        <v>984</v>
      </c>
      <c r="V106" s="14">
        <v>935</v>
      </c>
      <c r="W106" s="14">
        <v>807</v>
      </c>
      <c r="X106" s="14">
        <v>864</v>
      </c>
      <c r="Y106" s="14">
        <v>913</v>
      </c>
      <c r="Z106" s="14">
        <v>868</v>
      </c>
      <c r="AA106" s="13">
        <v>656</v>
      </c>
      <c r="AB106" s="13">
        <v>778</v>
      </c>
      <c r="AC106" s="13">
        <v>790</v>
      </c>
      <c r="AD106" s="13">
        <v>798</v>
      </c>
      <c r="AE106" s="13">
        <v>629</v>
      </c>
      <c r="AF106" s="13">
        <v>774</v>
      </c>
      <c r="AG106" s="13">
        <v>768</v>
      </c>
      <c r="AH106" s="13">
        <v>786</v>
      </c>
      <c r="AI106" s="13">
        <v>610</v>
      </c>
      <c r="AJ106" s="13">
        <v>697</v>
      </c>
      <c r="AK106" s="13">
        <v>686</v>
      </c>
      <c r="AL106" s="13">
        <v>666</v>
      </c>
      <c r="AM106" s="13">
        <v>499</v>
      </c>
      <c r="AN106" s="13">
        <v>648</v>
      </c>
      <c r="AO106" s="13">
        <v>547</v>
      </c>
      <c r="AP106" s="13">
        <v>647</v>
      </c>
      <c r="AQ106" s="13">
        <v>539</v>
      </c>
      <c r="AR106" s="13">
        <v>543</v>
      </c>
      <c r="AS106" s="13">
        <v>551</v>
      </c>
      <c r="AT106" s="13">
        <v>436</v>
      </c>
      <c r="AU106" s="13">
        <v>431</v>
      </c>
      <c r="AV106" s="13">
        <v>554</v>
      </c>
      <c r="AW106" s="13">
        <v>641</v>
      </c>
      <c r="AX106" s="13">
        <v>745</v>
      </c>
      <c r="AY106" s="63">
        <v>550</v>
      </c>
      <c r="AZ106" s="64">
        <v>646</v>
      </c>
      <c r="BA106" s="64">
        <v>657</v>
      </c>
      <c r="BB106" s="65">
        <v>718</v>
      </c>
      <c r="BC106" s="112">
        <v>582</v>
      </c>
      <c r="BD106" s="113">
        <v>700</v>
      </c>
      <c r="BE106" s="113">
        <v>780</v>
      </c>
      <c r="BF106" s="114">
        <v>661</v>
      </c>
    </row>
    <row r="107" spans="2:61" x14ac:dyDescent="0.25">
      <c r="B107" t="s">
        <v>55</v>
      </c>
      <c r="C107" s="14">
        <v>169</v>
      </c>
      <c r="D107" s="14">
        <v>156</v>
      </c>
      <c r="E107" s="14">
        <v>149</v>
      </c>
      <c r="F107" s="14">
        <v>163</v>
      </c>
      <c r="G107" s="14">
        <v>175</v>
      </c>
      <c r="H107" s="14">
        <v>182</v>
      </c>
      <c r="I107" s="14">
        <v>329</v>
      </c>
      <c r="J107" s="14">
        <v>390</v>
      </c>
      <c r="K107" s="14">
        <v>450</v>
      </c>
      <c r="L107" s="14">
        <v>254</v>
      </c>
      <c r="M107" s="14">
        <v>147</v>
      </c>
      <c r="N107" s="14">
        <v>75</v>
      </c>
      <c r="O107" s="14">
        <v>107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23</v>
      </c>
      <c r="AH107" s="13">
        <v>31</v>
      </c>
      <c r="AI107" s="13">
        <v>116</v>
      </c>
      <c r="AJ107" s="13">
        <v>20</v>
      </c>
      <c r="AK107" s="13">
        <v>251</v>
      </c>
      <c r="AL107" s="13">
        <v>362</v>
      </c>
      <c r="AM107" s="13">
        <v>409</v>
      </c>
      <c r="AN107" s="13">
        <v>422</v>
      </c>
      <c r="AO107" s="13">
        <v>352</v>
      </c>
      <c r="AP107" s="13">
        <v>293</v>
      </c>
      <c r="AQ107" s="13">
        <v>449</v>
      </c>
      <c r="AR107" s="13">
        <v>351</v>
      </c>
      <c r="AS107" s="13">
        <v>328</v>
      </c>
      <c r="AT107" s="13">
        <v>171</v>
      </c>
      <c r="AU107" s="13">
        <v>421</v>
      </c>
      <c r="AV107" s="13">
        <v>503</v>
      </c>
      <c r="AW107" s="13">
        <v>442</v>
      </c>
      <c r="AX107" s="13">
        <v>354</v>
      </c>
      <c r="AY107" s="63">
        <v>564</v>
      </c>
      <c r="AZ107" s="64">
        <v>495</v>
      </c>
      <c r="BA107" s="64">
        <v>438</v>
      </c>
      <c r="BB107" s="65">
        <v>478</v>
      </c>
      <c r="BC107" s="112">
        <v>471</v>
      </c>
      <c r="BD107" s="113">
        <v>369</v>
      </c>
      <c r="BE107" s="113">
        <v>344</v>
      </c>
      <c r="BF107" s="114">
        <v>412</v>
      </c>
    </row>
    <row r="108" spans="2:61" x14ac:dyDescent="0.25">
      <c r="B108" t="s">
        <v>56</v>
      </c>
      <c r="C108" s="14">
        <f>+C107+C106</f>
        <v>990</v>
      </c>
      <c r="D108" s="14">
        <f t="shared" ref="D108:AZ108" si="113">+D107+D106</f>
        <v>1135</v>
      </c>
      <c r="E108" s="14">
        <f t="shared" si="113"/>
        <v>1164</v>
      </c>
      <c r="F108" s="14">
        <f t="shared" si="113"/>
        <v>1172</v>
      </c>
      <c r="G108" s="14">
        <f t="shared" si="113"/>
        <v>1202</v>
      </c>
      <c r="H108" s="14">
        <f t="shared" si="113"/>
        <v>1184</v>
      </c>
      <c r="I108" s="14">
        <f t="shared" si="113"/>
        <v>1383</v>
      </c>
      <c r="J108" s="14">
        <f t="shared" si="113"/>
        <v>1390</v>
      </c>
      <c r="K108" s="14">
        <f t="shared" si="113"/>
        <v>1453</v>
      </c>
      <c r="L108" s="14">
        <f t="shared" si="113"/>
        <v>1222</v>
      </c>
      <c r="M108" s="14">
        <f t="shared" si="113"/>
        <v>1176</v>
      </c>
      <c r="N108" s="14">
        <f t="shared" si="113"/>
        <v>1091</v>
      </c>
      <c r="O108" s="14">
        <f t="shared" si="113"/>
        <v>1004</v>
      </c>
      <c r="P108" s="14">
        <f t="shared" si="113"/>
        <v>910</v>
      </c>
      <c r="Q108" s="14">
        <f t="shared" si="113"/>
        <v>831</v>
      </c>
      <c r="R108" s="14">
        <f t="shared" si="113"/>
        <v>931</v>
      </c>
      <c r="S108" s="14">
        <f t="shared" si="113"/>
        <v>905</v>
      </c>
      <c r="T108" s="14">
        <f t="shared" si="113"/>
        <v>884</v>
      </c>
      <c r="U108" s="14">
        <f t="shared" si="113"/>
        <v>984</v>
      </c>
      <c r="V108" s="14">
        <f t="shared" si="113"/>
        <v>935</v>
      </c>
      <c r="W108" s="14">
        <f t="shared" si="113"/>
        <v>807</v>
      </c>
      <c r="X108" s="14">
        <f t="shared" si="113"/>
        <v>864</v>
      </c>
      <c r="Y108" s="14">
        <f t="shared" si="113"/>
        <v>913</v>
      </c>
      <c r="Z108" s="14">
        <f t="shared" si="113"/>
        <v>868</v>
      </c>
      <c r="AA108" s="13">
        <f t="shared" si="113"/>
        <v>656</v>
      </c>
      <c r="AB108" s="13">
        <f t="shared" si="113"/>
        <v>778</v>
      </c>
      <c r="AC108" s="13">
        <f t="shared" si="113"/>
        <v>790</v>
      </c>
      <c r="AD108" s="13">
        <f t="shared" si="113"/>
        <v>798</v>
      </c>
      <c r="AE108" s="13">
        <f t="shared" si="113"/>
        <v>629</v>
      </c>
      <c r="AF108" s="13">
        <f t="shared" si="113"/>
        <v>774</v>
      </c>
      <c r="AG108" s="13">
        <f t="shared" si="113"/>
        <v>791</v>
      </c>
      <c r="AH108" s="13">
        <f t="shared" si="113"/>
        <v>817</v>
      </c>
      <c r="AI108" s="13">
        <f t="shared" si="113"/>
        <v>726</v>
      </c>
      <c r="AJ108" s="13">
        <f t="shared" si="113"/>
        <v>717</v>
      </c>
      <c r="AK108" s="13">
        <f t="shared" si="113"/>
        <v>937</v>
      </c>
      <c r="AL108" s="13">
        <f t="shared" si="113"/>
        <v>1028</v>
      </c>
      <c r="AM108" s="13">
        <f t="shared" si="113"/>
        <v>908</v>
      </c>
      <c r="AN108" s="13">
        <f t="shared" si="113"/>
        <v>1070</v>
      </c>
      <c r="AO108" s="13">
        <f t="shared" si="113"/>
        <v>899</v>
      </c>
      <c r="AP108" s="13">
        <f t="shared" si="113"/>
        <v>940</v>
      </c>
      <c r="AQ108" s="13">
        <f t="shared" si="113"/>
        <v>988</v>
      </c>
      <c r="AR108" s="13">
        <f t="shared" si="113"/>
        <v>894</v>
      </c>
      <c r="AS108" s="13">
        <f t="shared" si="113"/>
        <v>879</v>
      </c>
      <c r="AT108" s="13">
        <f t="shared" si="113"/>
        <v>607</v>
      </c>
      <c r="AU108" s="13">
        <f t="shared" si="113"/>
        <v>852</v>
      </c>
      <c r="AV108" s="13">
        <f t="shared" si="113"/>
        <v>1057</v>
      </c>
      <c r="AW108" s="13">
        <f t="shared" si="113"/>
        <v>1083</v>
      </c>
      <c r="AX108" s="13">
        <f t="shared" si="113"/>
        <v>1099</v>
      </c>
      <c r="AY108" s="63">
        <f t="shared" si="113"/>
        <v>1114</v>
      </c>
      <c r="AZ108" s="64">
        <f t="shared" si="113"/>
        <v>1141</v>
      </c>
      <c r="BA108" s="64">
        <f t="shared" ref="BA108:BB108" si="114">+BA107+BA106</f>
        <v>1095</v>
      </c>
      <c r="BB108" s="65">
        <f t="shared" si="114"/>
        <v>1196</v>
      </c>
      <c r="BC108" s="112">
        <f t="shared" ref="BC108:BD108" si="115">+BC107+BC106</f>
        <v>1053</v>
      </c>
      <c r="BD108" s="113">
        <f t="shared" si="115"/>
        <v>1069</v>
      </c>
      <c r="BE108" s="113">
        <f t="shared" ref="BE108:BF108" si="116">+BE107+BE106</f>
        <v>1124</v>
      </c>
      <c r="BF108" s="114">
        <f t="shared" si="116"/>
        <v>1073</v>
      </c>
    </row>
    <row r="109" spans="2:61" x14ac:dyDescent="0.25">
      <c r="B109" s="8" t="s">
        <v>57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63"/>
      <c r="AZ109" s="82"/>
      <c r="BA109" s="82"/>
      <c r="BB109" s="83"/>
      <c r="BC109" s="134"/>
      <c r="BD109" s="135"/>
      <c r="BE109" s="135"/>
      <c r="BF109" s="136"/>
    </row>
    <row r="110" spans="2:61" x14ac:dyDescent="0.25">
      <c r="B110" s="35" t="s">
        <v>54</v>
      </c>
      <c r="C110" s="49">
        <f t="shared" ref="C110:AY112" si="117">+C114/C106</f>
        <v>6.2825822168087697</v>
      </c>
      <c r="D110" s="49">
        <f t="shared" si="117"/>
        <v>5.3289070480081717</v>
      </c>
      <c r="E110" s="49">
        <f t="shared" si="117"/>
        <v>4.7073891625615767</v>
      </c>
      <c r="F110" s="49">
        <f t="shared" si="117"/>
        <v>4.8979187314172448</v>
      </c>
      <c r="G110" s="49">
        <f t="shared" si="117"/>
        <v>4.9328140214216161</v>
      </c>
      <c r="H110" s="49">
        <f t="shared" si="117"/>
        <v>5.1127744510978044</v>
      </c>
      <c r="I110" s="49">
        <f t="shared" si="117"/>
        <v>4.4440227703984823</v>
      </c>
      <c r="J110" s="49">
        <f t="shared" si="117"/>
        <v>4.7130000000000001</v>
      </c>
      <c r="K110" s="49">
        <f t="shared" si="117"/>
        <v>4.5224327018943171</v>
      </c>
      <c r="L110" s="49">
        <f t="shared" si="117"/>
        <v>4.6673553719008263</v>
      </c>
      <c r="M110" s="49">
        <f t="shared" si="117"/>
        <v>4.425655976676385</v>
      </c>
      <c r="N110" s="49">
        <f t="shared" si="117"/>
        <v>4.7303149606299213</v>
      </c>
      <c r="O110" s="49">
        <f t="shared" si="117"/>
        <v>5.2441471571906355</v>
      </c>
      <c r="P110" s="49">
        <f t="shared" si="117"/>
        <v>5.5769230769230766</v>
      </c>
      <c r="Q110" s="49">
        <f t="shared" si="117"/>
        <v>5.1889290012033698</v>
      </c>
      <c r="R110" s="49">
        <f t="shared" si="117"/>
        <v>5.1750805585392055</v>
      </c>
      <c r="S110" s="49">
        <f t="shared" si="117"/>
        <v>5.3226519337016578</v>
      </c>
      <c r="T110" s="49">
        <f t="shared" si="117"/>
        <v>5.1968325791855206</v>
      </c>
      <c r="U110" s="49">
        <f t="shared" si="117"/>
        <v>4.7113821138211378</v>
      </c>
      <c r="V110" s="49">
        <f t="shared" si="117"/>
        <v>4.9732620320855618</v>
      </c>
      <c r="W110" s="49">
        <f t="shared" si="117"/>
        <v>4.5947955390334574</v>
      </c>
      <c r="X110" s="49">
        <f t="shared" si="117"/>
        <v>4.5243055555555554</v>
      </c>
      <c r="Y110" s="49">
        <f t="shared" si="117"/>
        <v>4.0602409638554215</v>
      </c>
      <c r="Z110" s="49">
        <f t="shared" si="117"/>
        <v>4.2603686635944698</v>
      </c>
      <c r="AA110" s="35">
        <f t="shared" si="117"/>
        <v>3.875</v>
      </c>
      <c r="AB110" s="35">
        <f t="shared" si="117"/>
        <v>4.7275064267352187</v>
      </c>
      <c r="AC110" s="35">
        <f t="shared" si="117"/>
        <v>3.9949367088607595</v>
      </c>
      <c r="AD110" s="35">
        <f t="shared" si="117"/>
        <v>4.1604010025062657</v>
      </c>
      <c r="AE110" s="35">
        <f t="shared" si="117"/>
        <v>3.9570747217806042</v>
      </c>
      <c r="AF110" s="35">
        <f t="shared" si="117"/>
        <v>4.1330749354005167</v>
      </c>
      <c r="AG110" s="35">
        <f t="shared" si="117"/>
        <v>4.4375</v>
      </c>
      <c r="AH110" s="35">
        <f t="shared" si="117"/>
        <v>4.1832061068702293</v>
      </c>
      <c r="AI110" s="35">
        <f t="shared" si="117"/>
        <v>4.0360655737704922</v>
      </c>
      <c r="AJ110" s="35">
        <f t="shared" si="117"/>
        <v>4.0717360114777614</v>
      </c>
      <c r="AK110" s="35">
        <f t="shared" si="117"/>
        <v>4.4839650145772598</v>
      </c>
      <c r="AL110" s="35">
        <f t="shared" si="117"/>
        <v>4.3918918918918921</v>
      </c>
      <c r="AM110" s="35">
        <f t="shared" si="117"/>
        <v>4.350701402805611</v>
      </c>
      <c r="AN110" s="35">
        <f t="shared" si="117"/>
        <v>4.4783950617283947</v>
      </c>
      <c r="AO110" s="35">
        <f t="shared" si="117"/>
        <v>4.6142595978062158</v>
      </c>
      <c r="AP110" s="35">
        <f t="shared" si="117"/>
        <v>4.1978361669242661</v>
      </c>
      <c r="AQ110" s="35">
        <f t="shared" si="117"/>
        <v>4.3599257884972173</v>
      </c>
      <c r="AR110" s="35">
        <f t="shared" si="117"/>
        <v>4.3996316758747698</v>
      </c>
      <c r="AS110" s="35">
        <f>+AS114/AS106</f>
        <v>4.2341197822141563</v>
      </c>
      <c r="AT110" s="35">
        <f t="shared" si="117"/>
        <v>3.6330275229357798</v>
      </c>
      <c r="AU110" s="35">
        <f t="shared" si="117"/>
        <v>4.064965197215777</v>
      </c>
      <c r="AV110" s="35">
        <f t="shared" si="117"/>
        <v>3.9332129963898916</v>
      </c>
      <c r="AW110" s="35">
        <f t="shared" si="117"/>
        <v>3.9828393135725428</v>
      </c>
      <c r="AX110" s="35">
        <f t="shared" si="117"/>
        <v>3.6389261744966444</v>
      </c>
      <c r="AY110" s="60">
        <f t="shared" si="117"/>
        <v>3.9345454545454546</v>
      </c>
      <c r="AZ110" s="61">
        <f t="shared" ref="AZ110:BB110" si="118">+AZ114/AZ106</f>
        <v>3.6439628482972135</v>
      </c>
      <c r="BA110" s="61">
        <f t="shared" si="118"/>
        <v>3.7351598173515983</v>
      </c>
      <c r="BB110" s="62">
        <f t="shared" si="118"/>
        <v>3.6643454038997216</v>
      </c>
      <c r="BC110" s="109">
        <f t="shared" ref="BC110:BD110" si="119">+BC114/BC106</f>
        <v>2.8075601374570445</v>
      </c>
      <c r="BD110" s="110">
        <f t="shared" si="119"/>
        <v>3.6557142857142857</v>
      </c>
      <c r="BE110" s="110">
        <f t="shared" ref="BE110:BF110" si="120">+BE114/BE106</f>
        <v>3.4987179487179487</v>
      </c>
      <c r="BF110" s="111">
        <f t="shared" si="120"/>
        <v>3.9863842662632374</v>
      </c>
    </row>
    <row r="111" spans="2:61" x14ac:dyDescent="0.25">
      <c r="B111" s="35" t="s">
        <v>55</v>
      </c>
      <c r="C111" s="49">
        <f t="shared" si="117"/>
        <v>1.0118343195266273</v>
      </c>
      <c r="D111" s="49">
        <f t="shared" si="117"/>
        <v>0.90384615384615385</v>
      </c>
      <c r="E111" s="49">
        <f t="shared" si="117"/>
        <v>0.65100671140939592</v>
      </c>
      <c r="F111" s="49">
        <f t="shared" si="117"/>
        <v>0.76073619631901845</v>
      </c>
      <c r="G111" s="49">
        <f t="shared" si="117"/>
        <v>0.9028571428571428</v>
      </c>
      <c r="H111" s="49">
        <f t="shared" si="117"/>
        <v>1.098901098901099</v>
      </c>
      <c r="I111" s="49">
        <f t="shared" si="117"/>
        <v>0.81155015197568392</v>
      </c>
      <c r="J111" s="49">
        <f t="shared" si="117"/>
        <v>0.7384615384615385</v>
      </c>
      <c r="K111" s="49">
        <f t="shared" si="117"/>
        <v>0.61555555555555552</v>
      </c>
      <c r="L111" s="49">
        <f t="shared" si="117"/>
        <v>0.60629921259842523</v>
      </c>
      <c r="M111" s="49">
        <f t="shared" si="117"/>
        <v>0.77551020408163263</v>
      </c>
      <c r="N111" s="49">
        <f t="shared" si="117"/>
        <v>1.2666666666666666</v>
      </c>
      <c r="O111" s="49">
        <f t="shared" si="117"/>
        <v>0.65420560747663548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35"/>
      <c r="AB111" s="35"/>
      <c r="AC111" s="35"/>
      <c r="AD111" s="35"/>
      <c r="AE111" s="35"/>
      <c r="AF111" s="35"/>
      <c r="AG111" s="35">
        <f t="shared" si="117"/>
        <v>1.2608695652173914</v>
      </c>
      <c r="AH111" s="35">
        <f t="shared" si="117"/>
        <v>0.967741935483871</v>
      </c>
      <c r="AI111" s="35">
        <f t="shared" si="117"/>
        <v>0.99137931034482762</v>
      </c>
      <c r="AJ111" s="35">
        <f t="shared" si="117"/>
        <v>0.9</v>
      </c>
      <c r="AK111" s="35">
        <f t="shared" si="117"/>
        <v>0.50199203187250996</v>
      </c>
      <c r="AL111" s="35">
        <f t="shared" si="117"/>
        <v>0.42817679558011051</v>
      </c>
      <c r="AM111" s="35">
        <f t="shared" si="117"/>
        <v>0.34963325183374083</v>
      </c>
      <c r="AN111" s="35">
        <f t="shared" si="117"/>
        <v>0.34597156398104267</v>
      </c>
      <c r="AO111" s="35">
        <f t="shared" si="117"/>
        <v>0.31818181818181818</v>
      </c>
      <c r="AP111" s="35">
        <f t="shared" si="117"/>
        <v>0.24914675767918087</v>
      </c>
      <c r="AQ111" s="35">
        <f t="shared" si="117"/>
        <v>0.24944320712694878</v>
      </c>
      <c r="AR111" s="35">
        <f t="shared" si="117"/>
        <v>0.25071225071225073</v>
      </c>
      <c r="AS111" s="35">
        <f>+AS115/AS107</f>
        <v>0.25</v>
      </c>
      <c r="AT111" s="35">
        <f t="shared" si="117"/>
        <v>0.25146198830409355</v>
      </c>
      <c r="AU111" s="35">
        <f t="shared" si="117"/>
        <v>0.24940617577197149</v>
      </c>
      <c r="AV111" s="35">
        <f t="shared" si="117"/>
        <v>0.25248508946322068</v>
      </c>
      <c r="AW111" s="35">
        <f t="shared" si="117"/>
        <v>0.3755656108597285</v>
      </c>
      <c r="AX111" s="35">
        <f t="shared" si="117"/>
        <v>0.36440677966101692</v>
      </c>
      <c r="AY111" s="60">
        <f t="shared" si="117"/>
        <v>0.36702127659574468</v>
      </c>
      <c r="AZ111" s="61">
        <f t="shared" ref="AZ111:BB111" si="121">+AZ115/AZ107</f>
        <v>0.37575757575757573</v>
      </c>
      <c r="BA111" s="61">
        <f t="shared" si="121"/>
        <v>0.38812785388127852</v>
      </c>
      <c r="BB111" s="62">
        <f t="shared" si="121"/>
        <v>0.39330543933054396</v>
      </c>
      <c r="BC111" s="109">
        <f t="shared" ref="BC111:BD111" si="122">+BC115/BC107</f>
        <v>0.35244161358811038</v>
      </c>
      <c r="BD111" s="110">
        <f t="shared" si="122"/>
        <v>0.38482384823848237</v>
      </c>
      <c r="BE111" s="110">
        <f t="shared" ref="BE111:BF111" si="123">+BE115/BE107</f>
        <v>0.34011627906976744</v>
      </c>
      <c r="BF111" s="111">
        <f t="shared" si="123"/>
        <v>0.29854368932038833</v>
      </c>
    </row>
    <row r="112" spans="2:61" x14ac:dyDescent="0.25">
      <c r="B112" s="35" t="s">
        <v>58</v>
      </c>
      <c r="C112" s="49">
        <f t="shared" si="117"/>
        <v>5.3828282828282825</v>
      </c>
      <c r="D112" s="49">
        <f t="shared" si="117"/>
        <v>4.7207048458149776</v>
      </c>
      <c r="E112" s="49">
        <f t="shared" si="117"/>
        <v>4.1881443298969074</v>
      </c>
      <c r="F112" s="49">
        <f t="shared" si="117"/>
        <v>4.3225255972696246</v>
      </c>
      <c r="G112" s="49">
        <f t="shared" si="117"/>
        <v>4.3460898502495837</v>
      </c>
      <c r="H112" s="49">
        <f t="shared" si="117"/>
        <v>4.4957770270270272</v>
      </c>
      <c r="I112" s="49">
        <f t="shared" si="117"/>
        <v>3.5798987707881418</v>
      </c>
      <c r="J112" s="49">
        <f t="shared" si="117"/>
        <v>3.597841726618705</v>
      </c>
      <c r="K112" s="49">
        <f t="shared" si="117"/>
        <v>3.312456985547144</v>
      </c>
      <c r="L112" s="49">
        <f t="shared" si="117"/>
        <v>3.8232405891980359</v>
      </c>
      <c r="M112" s="49">
        <f t="shared" si="117"/>
        <v>3.9693877551020407</v>
      </c>
      <c r="N112" s="49">
        <f t="shared" si="117"/>
        <v>4.4922089825847848</v>
      </c>
      <c r="O112" s="49">
        <f t="shared" si="117"/>
        <v>4.7549800796812747</v>
      </c>
      <c r="P112" s="49">
        <f t="shared" si="117"/>
        <v>5.5769230769230766</v>
      </c>
      <c r="Q112" s="49">
        <f t="shared" si="117"/>
        <v>5.1889290012033698</v>
      </c>
      <c r="R112" s="49">
        <f t="shared" si="117"/>
        <v>5.1750805585392055</v>
      </c>
      <c r="S112" s="49">
        <f t="shared" si="117"/>
        <v>5.3226519337016578</v>
      </c>
      <c r="T112" s="49">
        <f t="shared" si="117"/>
        <v>5.1968325791855206</v>
      </c>
      <c r="U112" s="49">
        <f t="shared" si="117"/>
        <v>4.7113821138211378</v>
      </c>
      <c r="V112" s="49">
        <f t="shared" si="117"/>
        <v>4.9732620320855618</v>
      </c>
      <c r="W112" s="49">
        <f t="shared" si="117"/>
        <v>4.5947955390334574</v>
      </c>
      <c r="X112" s="49">
        <f t="shared" si="117"/>
        <v>4.5243055555555554</v>
      </c>
      <c r="Y112" s="49">
        <f t="shared" si="117"/>
        <v>4.0602409638554215</v>
      </c>
      <c r="Z112" s="49">
        <f t="shared" si="117"/>
        <v>4.2603686635944698</v>
      </c>
      <c r="AA112" s="35">
        <f t="shared" si="117"/>
        <v>3.875</v>
      </c>
      <c r="AB112" s="35">
        <f t="shared" si="117"/>
        <v>4.7275064267352187</v>
      </c>
      <c r="AC112" s="35">
        <f t="shared" si="117"/>
        <v>3.9949367088607595</v>
      </c>
      <c r="AD112" s="35">
        <f t="shared" si="117"/>
        <v>4.1604010025062657</v>
      </c>
      <c r="AE112" s="35">
        <f t="shared" si="117"/>
        <v>3.9570747217806042</v>
      </c>
      <c r="AF112" s="35">
        <f t="shared" si="117"/>
        <v>4.1330749354005167</v>
      </c>
      <c r="AG112" s="35">
        <f t="shared" si="117"/>
        <v>4.3451327433628322</v>
      </c>
      <c r="AH112" s="35">
        <f t="shared" si="117"/>
        <v>4.0611995104039167</v>
      </c>
      <c r="AI112" s="35">
        <f t="shared" si="117"/>
        <v>3.549586776859504</v>
      </c>
      <c r="AJ112" s="35">
        <f t="shared" si="117"/>
        <v>3.98326359832636</v>
      </c>
      <c r="AK112" s="35">
        <f t="shared" si="117"/>
        <v>3.4172892209178229</v>
      </c>
      <c r="AL112" s="35">
        <f t="shared" si="117"/>
        <v>2.9961089494163424</v>
      </c>
      <c r="AM112" s="35">
        <f t="shared" si="117"/>
        <v>2.5484581497797358</v>
      </c>
      <c r="AN112" s="35">
        <f t="shared" si="117"/>
        <v>2.8485981308411215</v>
      </c>
      <c r="AO112" s="35">
        <f t="shared" si="117"/>
        <v>2.9321468298109008</v>
      </c>
      <c r="AP112" s="35">
        <f t="shared" si="117"/>
        <v>2.9670212765957449</v>
      </c>
      <c r="AQ112" s="35">
        <f t="shared" si="117"/>
        <v>2.4919028340080973</v>
      </c>
      <c r="AR112" s="35">
        <f t="shared" si="117"/>
        <v>2.7706935123042506</v>
      </c>
      <c r="AS112" s="35">
        <f>+AS116/AS108</f>
        <v>2.7474402730375425</v>
      </c>
      <c r="AT112" s="35">
        <f t="shared" si="117"/>
        <v>2.6803953871499178</v>
      </c>
      <c r="AU112" s="35">
        <f t="shared" si="117"/>
        <v>2.1795774647887325</v>
      </c>
      <c r="AV112" s="35">
        <f t="shared" si="117"/>
        <v>2.1816461684011355</v>
      </c>
      <c r="AW112" s="35">
        <f t="shared" si="117"/>
        <v>2.5106186518928899</v>
      </c>
      <c r="AX112" s="35">
        <f t="shared" si="117"/>
        <v>2.5841674249317563</v>
      </c>
      <c r="AY112" s="60">
        <f t="shared" si="117"/>
        <v>2.1283662477558347</v>
      </c>
      <c r="AZ112" s="61">
        <f t="shared" ref="AZ112:BB112" si="124">+AZ116/AZ108</f>
        <v>2.2261174408413673</v>
      </c>
      <c r="BA112" s="61">
        <f t="shared" si="124"/>
        <v>2.3963470319634701</v>
      </c>
      <c r="BB112" s="62">
        <f t="shared" si="124"/>
        <v>2.3570234113712374</v>
      </c>
      <c r="BC112" s="109">
        <f t="shared" ref="BC112:BD112" si="125">+BC116/BC108</f>
        <v>1.7094017094017093</v>
      </c>
      <c r="BD112" s="110">
        <f t="shared" si="125"/>
        <v>2.5266604303086999</v>
      </c>
      <c r="BE112" s="110">
        <f t="shared" ref="BE112:BF112" si="126">+BE116/BE108</f>
        <v>2.5320284697508897</v>
      </c>
      <c r="BF112" s="111">
        <f t="shared" si="126"/>
        <v>2.5703634669151909</v>
      </c>
    </row>
    <row r="113" spans="2:74" x14ac:dyDescent="0.25">
      <c r="B113" s="8" t="s">
        <v>59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63"/>
      <c r="AZ113" s="82"/>
      <c r="BA113" s="82"/>
      <c r="BB113" s="83"/>
      <c r="BC113" s="134"/>
      <c r="BD113" s="135"/>
      <c r="BE113" s="135"/>
      <c r="BF113" s="136"/>
    </row>
    <row r="114" spans="2:74" x14ac:dyDescent="0.25">
      <c r="B114" t="s">
        <v>54</v>
      </c>
      <c r="C114" s="14">
        <v>5158</v>
      </c>
      <c r="D114" s="14">
        <v>5217</v>
      </c>
      <c r="E114" s="14">
        <v>4778</v>
      </c>
      <c r="F114" s="14">
        <v>4942</v>
      </c>
      <c r="G114" s="14">
        <v>5066</v>
      </c>
      <c r="H114" s="14">
        <v>5123</v>
      </c>
      <c r="I114" s="14">
        <v>4684</v>
      </c>
      <c r="J114" s="14">
        <v>4713</v>
      </c>
      <c r="K114" s="14">
        <v>4536</v>
      </c>
      <c r="L114" s="14">
        <v>4518</v>
      </c>
      <c r="M114" s="14">
        <v>4554</v>
      </c>
      <c r="N114" s="14">
        <v>4806</v>
      </c>
      <c r="O114" s="14">
        <v>4704</v>
      </c>
      <c r="P114" s="14">
        <v>5075</v>
      </c>
      <c r="Q114" s="14">
        <v>4312</v>
      </c>
      <c r="R114" s="14">
        <v>4818</v>
      </c>
      <c r="S114" s="14">
        <v>4817</v>
      </c>
      <c r="T114" s="14">
        <v>4594</v>
      </c>
      <c r="U114" s="14">
        <v>4636</v>
      </c>
      <c r="V114" s="14">
        <v>4650</v>
      </c>
      <c r="W114" s="14">
        <v>3708</v>
      </c>
      <c r="X114" s="14">
        <v>3909</v>
      </c>
      <c r="Y114" s="14">
        <v>3707</v>
      </c>
      <c r="Z114" s="14">
        <v>3698</v>
      </c>
      <c r="AA114" s="13">
        <v>2542</v>
      </c>
      <c r="AB114" s="13">
        <v>3678</v>
      </c>
      <c r="AC114" s="13">
        <v>3156</v>
      </c>
      <c r="AD114" s="13">
        <v>3320</v>
      </c>
      <c r="AE114" s="13">
        <v>2489</v>
      </c>
      <c r="AF114" s="13">
        <v>3199</v>
      </c>
      <c r="AG114" s="13">
        <v>3408</v>
      </c>
      <c r="AH114" s="13">
        <v>3288</v>
      </c>
      <c r="AI114" s="13">
        <v>2462</v>
      </c>
      <c r="AJ114" s="13">
        <v>2838</v>
      </c>
      <c r="AK114" s="13">
        <v>3076</v>
      </c>
      <c r="AL114" s="13">
        <v>2925</v>
      </c>
      <c r="AM114" s="13">
        <v>2171</v>
      </c>
      <c r="AN114" s="13">
        <v>2902</v>
      </c>
      <c r="AO114" s="13">
        <v>2524</v>
      </c>
      <c r="AP114" s="13">
        <v>2716</v>
      </c>
      <c r="AQ114" s="13">
        <v>2350</v>
      </c>
      <c r="AR114" s="13">
        <v>2389</v>
      </c>
      <c r="AS114" s="13">
        <v>2333</v>
      </c>
      <c r="AT114" s="13">
        <v>1584</v>
      </c>
      <c r="AU114" s="13">
        <v>1752</v>
      </c>
      <c r="AV114" s="13">
        <v>2179</v>
      </c>
      <c r="AW114" s="13">
        <v>2553</v>
      </c>
      <c r="AX114" s="13">
        <v>2711</v>
      </c>
      <c r="AY114" s="63">
        <v>2164</v>
      </c>
      <c r="AZ114" s="64">
        <v>2354</v>
      </c>
      <c r="BA114" s="64">
        <v>2454</v>
      </c>
      <c r="BB114" s="65">
        <v>2631</v>
      </c>
      <c r="BC114" s="112">
        <v>1634</v>
      </c>
      <c r="BD114" s="113">
        <v>2559</v>
      </c>
      <c r="BE114" s="113">
        <v>2729</v>
      </c>
      <c r="BF114" s="114">
        <v>2635</v>
      </c>
    </row>
    <row r="115" spans="2:74" x14ac:dyDescent="0.25">
      <c r="B115" t="s">
        <v>55</v>
      </c>
      <c r="C115" s="14">
        <v>171</v>
      </c>
      <c r="D115" s="14">
        <v>141</v>
      </c>
      <c r="E115" s="14">
        <v>97</v>
      </c>
      <c r="F115" s="14">
        <v>124</v>
      </c>
      <c r="G115" s="14">
        <v>158</v>
      </c>
      <c r="H115" s="14">
        <v>200</v>
      </c>
      <c r="I115" s="14">
        <v>267</v>
      </c>
      <c r="J115" s="14">
        <v>288</v>
      </c>
      <c r="K115" s="14">
        <v>277</v>
      </c>
      <c r="L115" s="14">
        <v>154</v>
      </c>
      <c r="M115" s="14">
        <v>114</v>
      </c>
      <c r="N115" s="14">
        <v>95</v>
      </c>
      <c r="O115" s="14">
        <v>70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29</v>
      </c>
      <c r="AH115" s="13">
        <v>30</v>
      </c>
      <c r="AI115" s="13">
        <v>115</v>
      </c>
      <c r="AJ115" s="13">
        <v>18</v>
      </c>
      <c r="AK115" s="13">
        <v>126</v>
      </c>
      <c r="AL115" s="13">
        <v>155</v>
      </c>
      <c r="AM115" s="13">
        <v>143</v>
      </c>
      <c r="AN115" s="13">
        <v>146</v>
      </c>
      <c r="AO115" s="13">
        <v>112</v>
      </c>
      <c r="AP115" s="13">
        <v>73</v>
      </c>
      <c r="AQ115" s="13">
        <v>112</v>
      </c>
      <c r="AR115" s="13">
        <v>88</v>
      </c>
      <c r="AS115" s="13">
        <v>82</v>
      </c>
      <c r="AT115" s="13">
        <v>43</v>
      </c>
      <c r="AU115" s="13">
        <v>105</v>
      </c>
      <c r="AV115" s="13">
        <v>127</v>
      </c>
      <c r="AW115" s="13">
        <v>166</v>
      </c>
      <c r="AX115" s="13">
        <v>129</v>
      </c>
      <c r="AY115" s="63">
        <v>207</v>
      </c>
      <c r="AZ115" s="57">
        <v>186</v>
      </c>
      <c r="BA115" s="57">
        <v>170</v>
      </c>
      <c r="BB115" s="58">
        <v>188</v>
      </c>
      <c r="BC115" s="108">
        <v>166</v>
      </c>
      <c r="BD115" s="106">
        <v>142</v>
      </c>
      <c r="BE115" s="106">
        <v>117</v>
      </c>
      <c r="BF115" s="107">
        <v>123</v>
      </c>
    </row>
    <row r="116" spans="2:74" x14ac:dyDescent="0.25">
      <c r="B116" t="s">
        <v>56</v>
      </c>
      <c r="C116" s="14">
        <f>+C115+C114</f>
        <v>5329</v>
      </c>
      <c r="D116" s="14">
        <f t="shared" ref="D116:AZ116" si="127">+D115+D114</f>
        <v>5358</v>
      </c>
      <c r="E116" s="14">
        <f t="shared" si="127"/>
        <v>4875</v>
      </c>
      <c r="F116" s="14">
        <f t="shared" si="127"/>
        <v>5066</v>
      </c>
      <c r="G116" s="14">
        <f t="shared" si="127"/>
        <v>5224</v>
      </c>
      <c r="H116" s="14">
        <f t="shared" si="127"/>
        <v>5323</v>
      </c>
      <c r="I116" s="14">
        <f t="shared" si="127"/>
        <v>4951</v>
      </c>
      <c r="J116" s="14">
        <f t="shared" si="127"/>
        <v>5001</v>
      </c>
      <c r="K116" s="14">
        <f t="shared" si="127"/>
        <v>4813</v>
      </c>
      <c r="L116" s="14">
        <f t="shared" si="127"/>
        <v>4672</v>
      </c>
      <c r="M116" s="14">
        <f t="shared" si="127"/>
        <v>4668</v>
      </c>
      <c r="N116" s="14">
        <f t="shared" si="127"/>
        <v>4901</v>
      </c>
      <c r="O116" s="14">
        <f t="shared" si="127"/>
        <v>4774</v>
      </c>
      <c r="P116" s="14">
        <f t="shared" si="127"/>
        <v>5075</v>
      </c>
      <c r="Q116" s="14">
        <f t="shared" si="127"/>
        <v>4312</v>
      </c>
      <c r="R116" s="14">
        <f t="shared" si="127"/>
        <v>4818</v>
      </c>
      <c r="S116" s="14">
        <f t="shared" si="127"/>
        <v>4817</v>
      </c>
      <c r="T116" s="14">
        <f t="shared" si="127"/>
        <v>4594</v>
      </c>
      <c r="U116" s="14">
        <f t="shared" si="127"/>
        <v>4636</v>
      </c>
      <c r="V116" s="14">
        <f t="shared" si="127"/>
        <v>4650</v>
      </c>
      <c r="W116" s="14">
        <f t="shared" si="127"/>
        <v>3708</v>
      </c>
      <c r="X116" s="14">
        <f t="shared" si="127"/>
        <v>3909</v>
      </c>
      <c r="Y116" s="14">
        <f t="shared" si="127"/>
        <v>3707</v>
      </c>
      <c r="Z116" s="14">
        <f t="shared" si="127"/>
        <v>3698</v>
      </c>
      <c r="AA116" s="13">
        <f t="shared" si="127"/>
        <v>2542</v>
      </c>
      <c r="AB116" s="13">
        <f t="shared" si="127"/>
        <v>3678</v>
      </c>
      <c r="AC116" s="13">
        <f t="shared" si="127"/>
        <v>3156</v>
      </c>
      <c r="AD116" s="13">
        <f t="shared" si="127"/>
        <v>3320</v>
      </c>
      <c r="AE116" s="13">
        <f t="shared" si="127"/>
        <v>2489</v>
      </c>
      <c r="AF116" s="13">
        <f t="shared" si="127"/>
        <v>3199</v>
      </c>
      <c r="AG116" s="13">
        <f t="shared" si="127"/>
        <v>3437</v>
      </c>
      <c r="AH116" s="13">
        <f t="shared" si="127"/>
        <v>3318</v>
      </c>
      <c r="AI116" s="13">
        <f t="shared" si="127"/>
        <v>2577</v>
      </c>
      <c r="AJ116" s="13">
        <f t="shared" si="127"/>
        <v>2856</v>
      </c>
      <c r="AK116" s="13">
        <f t="shared" si="127"/>
        <v>3202</v>
      </c>
      <c r="AL116" s="13">
        <f t="shared" si="127"/>
        <v>3080</v>
      </c>
      <c r="AM116" s="13">
        <f t="shared" si="127"/>
        <v>2314</v>
      </c>
      <c r="AN116" s="13">
        <f t="shared" si="127"/>
        <v>3048</v>
      </c>
      <c r="AO116" s="13">
        <f t="shared" si="127"/>
        <v>2636</v>
      </c>
      <c r="AP116" s="13">
        <f t="shared" si="127"/>
        <v>2789</v>
      </c>
      <c r="AQ116" s="13">
        <f t="shared" si="127"/>
        <v>2462</v>
      </c>
      <c r="AR116" s="13">
        <f t="shared" si="127"/>
        <v>2477</v>
      </c>
      <c r="AS116" s="13">
        <f t="shared" si="127"/>
        <v>2415</v>
      </c>
      <c r="AT116" s="13">
        <f t="shared" si="127"/>
        <v>1627</v>
      </c>
      <c r="AU116" s="13">
        <f t="shared" si="127"/>
        <v>1857</v>
      </c>
      <c r="AV116" s="13">
        <f t="shared" si="127"/>
        <v>2306</v>
      </c>
      <c r="AW116" s="13">
        <f t="shared" si="127"/>
        <v>2719</v>
      </c>
      <c r="AX116" s="13">
        <f t="shared" si="127"/>
        <v>2840</v>
      </c>
      <c r="AY116" s="63">
        <f t="shared" si="127"/>
        <v>2371</v>
      </c>
      <c r="AZ116" s="64">
        <f t="shared" si="127"/>
        <v>2540</v>
      </c>
      <c r="BA116" s="64">
        <f t="shared" ref="BA116:BB116" si="128">+BA115+BA114</f>
        <v>2624</v>
      </c>
      <c r="BB116" s="65">
        <f t="shared" si="128"/>
        <v>2819</v>
      </c>
      <c r="BC116" s="112">
        <f t="shared" ref="BC116:BD116" si="129">+BC115+BC114</f>
        <v>1800</v>
      </c>
      <c r="BD116" s="113">
        <f t="shared" si="129"/>
        <v>2701</v>
      </c>
      <c r="BE116" s="113">
        <f t="shared" ref="BE116:BF116" si="130">+BE115+BE114</f>
        <v>2846</v>
      </c>
      <c r="BF116" s="114">
        <f t="shared" si="130"/>
        <v>2758</v>
      </c>
    </row>
    <row r="117" spans="2:74" x14ac:dyDescent="0.25">
      <c r="B117" s="8" t="s">
        <v>60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2" t="s">
        <v>61</v>
      </c>
      <c r="AY117" s="63"/>
      <c r="AZ117" s="82"/>
      <c r="BA117" s="82"/>
      <c r="BB117" s="83"/>
      <c r="BC117" s="134"/>
      <c r="BD117" s="135"/>
      <c r="BE117" s="135"/>
      <c r="BF117" s="136"/>
    </row>
    <row r="118" spans="2:74" x14ac:dyDescent="0.25">
      <c r="B118" t="s">
        <v>54</v>
      </c>
      <c r="C118" s="14">
        <v>367</v>
      </c>
      <c r="D118" s="14">
        <v>318</v>
      </c>
      <c r="E118" s="14">
        <v>332</v>
      </c>
      <c r="F118" s="14">
        <v>345</v>
      </c>
      <c r="G118" s="14">
        <v>349</v>
      </c>
      <c r="H118" s="14">
        <v>376</v>
      </c>
      <c r="I118" s="14">
        <v>368</v>
      </c>
      <c r="J118" s="14">
        <v>387</v>
      </c>
      <c r="K118" s="14">
        <v>374</v>
      </c>
      <c r="L118" s="14">
        <v>398</v>
      </c>
      <c r="M118" s="14">
        <v>389</v>
      </c>
      <c r="N118" s="14">
        <v>404</v>
      </c>
      <c r="O118" s="14">
        <v>445</v>
      </c>
      <c r="P118" s="14">
        <v>451</v>
      </c>
      <c r="Q118" s="14">
        <v>470</v>
      </c>
      <c r="R118" s="14">
        <v>440</v>
      </c>
      <c r="S118" s="14">
        <v>452</v>
      </c>
      <c r="T118" s="14">
        <v>459</v>
      </c>
      <c r="U118" s="14">
        <v>385</v>
      </c>
      <c r="V118" s="14">
        <v>419</v>
      </c>
      <c r="W118" s="14">
        <v>481</v>
      </c>
      <c r="X118" s="14">
        <v>454</v>
      </c>
      <c r="Y118" s="14">
        <v>455</v>
      </c>
      <c r="Z118" s="14">
        <v>484</v>
      </c>
      <c r="AA118" s="13">
        <v>655</v>
      </c>
      <c r="AB118" s="13">
        <v>591</v>
      </c>
      <c r="AC118" s="13">
        <v>631</v>
      </c>
      <c r="AD118" s="13">
        <v>630</v>
      </c>
      <c r="AE118" s="13">
        <v>807</v>
      </c>
      <c r="AF118" s="13">
        <v>682</v>
      </c>
      <c r="AG118" s="13">
        <v>770</v>
      </c>
      <c r="AH118" s="13">
        <v>732</v>
      </c>
      <c r="AI118" s="13">
        <v>900</v>
      </c>
      <c r="AJ118" s="13">
        <v>796</v>
      </c>
      <c r="AK118" s="13">
        <v>892</v>
      </c>
      <c r="AL118" s="13">
        <v>880</v>
      </c>
      <c r="AM118" s="13">
        <v>1052</v>
      </c>
      <c r="AN118" s="13">
        <v>927</v>
      </c>
      <c r="AO118" s="13">
        <v>1101</v>
      </c>
      <c r="AP118" s="13">
        <v>902</v>
      </c>
      <c r="AQ118" s="13">
        <v>1124</v>
      </c>
      <c r="AR118" s="13">
        <v>1188</v>
      </c>
      <c r="AS118" s="13">
        <v>1243</v>
      </c>
      <c r="AT118" s="13">
        <v>1389</v>
      </c>
      <c r="AU118" s="13">
        <v>1599</v>
      </c>
      <c r="AV118" s="13">
        <v>1224</v>
      </c>
      <c r="AW118" s="13">
        <v>1153</v>
      </c>
      <c r="AX118" s="13">
        <v>1011</v>
      </c>
      <c r="AY118" s="63">
        <v>1335</v>
      </c>
      <c r="AZ118" s="64">
        <v>1192</v>
      </c>
      <c r="BA118" s="64">
        <v>1201</v>
      </c>
      <c r="BB118" s="65">
        <v>1057</v>
      </c>
      <c r="BC118" s="112">
        <v>1216</v>
      </c>
      <c r="BD118" s="113">
        <v>1137</v>
      </c>
      <c r="BE118" s="113">
        <v>1098</v>
      </c>
      <c r="BF118" s="114">
        <v>1248</v>
      </c>
    </row>
    <row r="119" spans="2:74" x14ac:dyDescent="0.25">
      <c r="B119" t="s">
        <v>55</v>
      </c>
      <c r="C119" s="14">
        <v>19</v>
      </c>
      <c r="D119" s="14">
        <v>32</v>
      </c>
      <c r="E119" s="14">
        <v>28</v>
      </c>
      <c r="F119" s="14">
        <v>35</v>
      </c>
      <c r="G119" s="14">
        <v>35</v>
      </c>
      <c r="H119" s="14">
        <v>22</v>
      </c>
      <c r="I119" s="14">
        <v>40</v>
      </c>
      <c r="J119" s="14">
        <v>36</v>
      </c>
      <c r="K119" s="14">
        <v>32</v>
      </c>
      <c r="L119" s="14">
        <v>39</v>
      </c>
      <c r="M119" s="14">
        <v>39</v>
      </c>
      <c r="N119" s="14">
        <v>36</v>
      </c>
      <c r="O119" s="14">
        <v>20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13</v>
      </c>
      <c r="AH119" s="13">
        <v>13</v>
      </c>
      <c r="AI119" s="13">
        <v>8</v>
      </c>
      <c r="AJ119" s="13">
        <v>10</v>
      </c>
      <c r="AK119" s="13">
        <v>62</v>
      </c>
      <c r="AL119" s="13">
        <v>55</v>
      </c>
      <c r="AM119" s="13">
        <v>60</v>
      </c>
      <c r="AN119" s="13">
        <v>59</v>
      </c>
      <c r="AO119" s="13">
        <v>74</v>
      </c>
      <c r="AP119" s="13">
        <v>77</v>
      </c>
      <c r="AQ119" s="13">
        <v>55</v>
      </c>
      <c r="AR119" s="13">
        <v>81</v>
      </c>
      <c r="AS119" s="13">
        <v>91</v>
      </c>
      <c r="AT119" s="13">
        <v>76</v>
      </c>
      <c r="AU119" s="13">
        <v>30</v>
      </c>
      <c r="AV119" s="13">
        <v>117</v>
      </c>
      <c r="AW119" s="13">
        <v>85</v>
      </c>
      <c r="AX119" s="13">
        <v>101</v>
      </c>
      <c r="AY119" s="63">
        <v>74</v>
      </c>
      <c r="AZ119" s="64">
        <v>76</v>
      </c>
      <c r="BA119" s="64">
        <v>83</v>
      </c>
      <c r="BB119" s="65">
        <v>75</v>
      </c>
      <c r="BC119" s="112">
        <v>109</v>
      </c>
      <c r="BD119" s="113">
        <v>145</v>
      </c>
      <c r="BE119" s="113">
        <v>150</v>
      </c>
      <c r="BF119" s="114">
        <v>121</v>
      </c>
    </row>
    <row r="120" spans="2:74" x14ac:dyDescent="0.25">
      <c r="B120" t="s">
        <v>56</v>
      </c>
      <c r="C120" s="14">
        <f>+((C118*C106)+(C119*C107))/(C108)</f>
        <v>307.59393939393942</v>
      </c>
      <c r="D120" s="14">
        <f>+((D118*D106)+(D119*D107))/(D108)</f>
        <v>278.69074889867841</v>
      </c>
      <c r="E120" s="14">
        <f t="shared" ref="E120:G120" si="131">+((E118*E106)+(E119*E107))/(E108)</f>
        <v>293.08591065292097</v>
      </c>
      <c r="F120" s="14">
        <f t="shared" si="131"/>
        <v>301.88566552901023</v>
      </c>
      <c r="G120" s="14">
        <f t="shared" si="131"/>
        <v>303.28452579034939</v>
      </c>
      <c r="H120" s="14">
        <f>+((H118*H106)+(H119*H107))/(H108)-1</f>
        <v>320.58445945945948</v>
      </c>
      <c r="I120" s="14">
        <f>+((I118*I106)+(I119*I107))/(I108)</f>
        <v>289.97252349963844</v>
      </c>
      <c r="J120" s="14">
        <f>+((J118*J106)+(J119*J107))/(J108)-1</f>
        <v>287.51798561151077</v>
      </c>
      <c r="K120" s="14">
        <f t="shared" ref="K120" si="132">+((K118*K106)+(K119*K107))/(K108)</f>
        <v>268.08121128699241</v>
      </c>
      <c r="L120" s="14">
        <f>+((L118*L106)+(L119*L107))/(L108)</f>
        <v>323.379705400982</v>
      </c>
      <c r="M120" s="14">
        <f t="shared" ref="M120:Q120" si="133">+((M118*M106)+(M119*M107))/(M108)</f>
        <v>345.25</v>
      </c>
      <c r="N120" s="14">
        <f>+((N118*N106)+(N119*N107))/(N108)-1</f>
        <v>377.70210815765353</v>
      </c>
      <c r="O120" s="14">
        <f t="shared" si="133"/>
        <v>399.70617529880479</v>
      </c>
      <c r="P120" s="14">
        <f t="shared" si="133"/>
        <v>451</v>
      </c>
      <c r="Q120" s="14">
        <f t="shared" si="133"/>
        <v>470</v>
      </c>
      <c r="R120" s="14">
        <f>+((R118*R106)+(R119*R107))/(R108)</f>
        <v>440</v>
      </c>
      <c r="S120" s="14">
        <f t="shared" ref="S120:T120" si="134">+((S118*S106)+(S119*S107))/(S108)</f>
        <v>452</v>
      </c>
      <c r="T120" s="14">
        <f t="shared" si="134"/>
        <v>459</v>
      </c>
      <c r="U120" s="14">
        <f>+((U118*U106)+(U119*U107))/(U108)</f>
        <v>385</v>
      </c>
      <c r="V120" s="14">
        <f t="shared" ref="V120:AR120" si="135">+((V118*V106)+(V119*V107))/(V108)</f>
        <v>419</v>
      </c>
      <c r="W120" s="14">
        <f t="shared" si="135"/>
        <v>481</v>
      </c>
      <c r="X120" s="14">
        <f t="shared" si="135"/>
        <v>454</v>
      </c>
      <c r="Y120" s="14">
        <f t="shared" si="135"/>
        <v>455</v>
      </c>
      <c r="Z120" s="14">
        <f t="shared" si="135"/>
        <v>484</v>
      </c>
      <c r="AA120" s="13">
        <f t="shared" si="135"/>
        <v>655</v>
      </c>
      <c r="AB120" s="13">
        <f t="shared" si="135"/>
        <v>591</v>
      </c>
      <c r="AC120" s="13">
        <f t="shared" si="135"/>
        <v>631</v>
      </c>
      <c r="AD120" s="13">
        <f t="shared" si="135"/>
        <v>630</v>
      </c>
      <c r="AE120" s="13">
        <f t="shared" si="135"/>
        <v>807</v>
      </c>
      <c r="AF120" s="13">
        <f t="shared" si="135"/>
        <v>682</v>
      </c>
      <c r="AG120" s="13">
        <f t="shared" si="135"/>
        <v>747.98862199747157</v>
      </c>
      <c r="AH120" s="13">
        <f t="shared" si="135"/>
        <v>704.71848225214194</v>
      </c>
      <c r="AI120" s="13">
        <f>+((AI118*AI106)+(AI119*AI107))/(AI108)+1</f>
        <v>758.47658402203854</v>
      </c>
      <c r="AJ120" s="13">
        <f t="shared" si="135"/>
        <v>774.07531380753142</v>
      </c>
      <c r="AK120" s="13">
        <f>+((AK118*AK106)+(AK119*AK107))/(AK108)-1</f>
        <v>668.6627534685166</v>
      </c>
      <c r="AL120" s="13">
        <f>+((AL118*AL106)+(AL119*AL107))/(AL108)+1</f>
        <v>590.48443579766536</v>
      </c>
      <c r="AM120" s="13">
        <f t="shared" si="135"/>
        <v>605.16299559471361</v>
      </c>
      <c r="AN120" s="13">
        <f>+((AN118*AN106)+(AN119*AN107))/(AN108)-1</f>
        <v>583.66728971962618</v>
      </c>
      <c r="AO120" s="13">
        <f t="shared" si="135"/>
        <v>698.88209121245825</v>
      </c>
      <c r="AP120" s="13">
        <f t="shared" si="135"/>
        <v>644.84574468085111</v>
      </c>
      <c r="AQ120" s="13">
        <f t="shared" si="135"/>
        <v>638.1892712550607</v>
      </c>
      <c r="AR120" s="13">
        <f t="shared" si="135"/>
        <v>753.3724832214765</v>
      </c>
      <c r="AS120" s="13">
        <f>+((AS118*AS106)+(AS119*AS107))/(AS108)</f>
        <v>813.12969283276448</v>
      </c>
      <c r="AT120" s="13">
        <f>+((AT118*AT106)+(AT119*AT107))/(AT108)</f>
        <v>1019.1103789126853</v>
      </c>
      <c r="AU120" s="13">
        <f t="shared" ref="AU120:AZ120" si="136">+((AU118*AU106)+(AU119*AU107))/(AU108)</f>
        <v>823.70774647887322</v>
      </c>
      <c r="AV120" s="13">
        <f t="shared" si="136"/>
        <v>697.20624408703884</v>
      </c>
      <c r="AW120" s="13">
        <f t="shared" si="136"/>
        <v>717.12188365650968</v>
      </c>
      <c r="AX120" s="13">
        <f t="shared" si="136"/>
        <v>717.87898089171972</v>
      </c>
      <c r="AY120" s="63">
        <f t="shared" si="136"/>
        <v>696.57630161579891</v>
      </c>
      <c r="AZ120" s="64">
        <f t="shared" si="136"/>
        <v>707.84574934268187</v>
      </c>
      <c r="BA120" s="64">
        <f t="shared" ref="BA120" si="137">+((BA118*BA106)+(BA119*BA107))/(BA108)</f>
        <v>753.8</v>
      </c>
      <c r="BB120" s="65">
        <f>+((BB118*BB106)+(BB119*BB107))/(BB108)-1</f>
        <v>663.52842809364552</v>
      </c>
      <c r="BC120" s="112">
        <f>+((BC118*BC106)+(BC119*BC107))/(BC108)</f>
        <v>720.84615384615381</v>
      </c>
      <c r="BD120" s="113">
        <f>+((BD118*BD106)+(BD119*BD107))/(BD108)</f>
        <v>794.57904583723109</v>
      </c>
      <c r="BE120" s="113">
        <f>+((BE118*BE106)+(BE119*BE107))/(BE108)</f>
        <v>807.86476868327406</v>
      </c>
      <c r="BF120" s="114">
        <f>+((BF118*BF106)+(BF119*BF107))/(BF108)</f>
        <v>815.26561043802428</v>
      </c>
    </row>
    <row r="121" spans="2:74" x14ac:dyDescent="0.25">
      <c r="B121" s="8" t="s">
        <v>62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84"/>
      <c r="AZ121" s="82"/>
      <c r="BA121" s="82"/>
      <c r="BB121" s="83"/>
      <c r="BC121" s="134"/>
      <c r="BD121" s="135"/>
      <c r="BE121" s="135"/>
      <c r="BF121" s="136"/>
    </row>
    <row r="122" spans="2:74" x14ac:dyDescent="0.25">
      <c r="B122" t="s">
        <v>63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7" t="s">
        <v>64</v>
      </c>
      <c r="N122" s="16"/>
      <c r="O122" s="16"/>
      <c r="P122" s="16"/>
      <c r="Q122" s="16"/>
      <c r="R122" s="16"/>
      <c r="S122" s="16"/>
      <c r="T122" s="18"/>
      <c r="U122" s="10">
        <f>105.3-U123-U124</f>
        <v>59.9</v>
      </c>
      <c r="V122" s="10">
        <f>156.1-V123-V124</f>
        <v>55.5</v>
      </c>
      <c r="W122" s="10">
        <f>124-W123-W124</f>
        <v>65.900000000000006</v>
      </c>
      <c r="X122" s="10">
        <f>207.4-X123-X124</f>
        <v>60</v>
      </c>
      <c r="Y122" s="10">
        <f>133.8-Y123-Y124</f>
        <v>75.000000000000014</v>
      </c>
      <c r="Z122" s="10">
        <f>141.7-Z123-Z124</f>
        <v>74.599999999999994</v>
      </c>
      <c r="AA122" s="11">
        <f>149.8-AA123-AA124</f>
        <v>69.700000000000017</v>
      </c>
      <c r="AB122" s="11">
        <f>151.3-AB123-AB124</f>
        <v>79.100000000000023</v>
      </c>
      <c r="AC122" s="11">
        <f>153.5-AC123-AC124</f>
        <v>92.8</v>
      </c>
      <c r="AD122" s="11">
        <f>146.7-AD123-AD124</f>
        <v>74.699999999999989</v>
      </c>
      <c r="AE122" s="11">
        <f>138.5-AE123-AE124</f>
        <v>71.5</v>
      </c>
      <c r="AF122" s="11">
        <f>190.7-AF123-AF124</f>
        <v>86.299999999999983</v>
      </c>
      <c r="AG122" s="11">
        <f>149.6-AG123-AG124</f>
        <v>94.8</v>
      </c>
      <c r="AH122" s="11">
        <f>156.4-AH123-AH124</f>
        <v>99.300000000000011</v>
      </c>
      <c r="AI122" s="11">
        <f>157.1-AI123-AI124</f>
        <v>110</v>
      </c>
      <c r="AJ122" s="11">
        <f>187.5-AJ123-AJ124</f>
        <v>113.19999999999999</v>
      </c>
      <c r="AK122" s="11">
        <f>144.6-AK123-AK124</f>
        <v>97.5</v>
      </c>
      <c r="AL122" s="11">
        <v>97.6</v>
      </c>
      <c r="AM122" s="11">
        <v>93</v>
      </c>
      <c r="AN122" s="11">
        <v>110.3</v>
      </c>
      <c r="AO122" s="11">
        <v>113.1</v>
      </c>
      <c r="AP122" s="11">
        <v>98.9</v>
      </c>
      <c r="AQ122" s="11">
        <v>99.4</v>
      </c>
      <c r="AR122" s="11">
        <v>115</v>
      </c>
      <c r="AS122" s="11">
        <v>124.2</v>
      </c>
      <c r="AT122" s="11">
        <v>108.9</v>
      </c>
      <c r="AU122" s="11">
        <v>107.4</v>
      </c>
      <c r="AV122" s="11">
        <v>97.2</v>
      </c>
      <c r="AW122" s="11">
        <v>67.8</v>
      </c>
      <c r="AX122" s="11">
        <v>64</v>
      </c>
      <c r="AY122" s="85">
        <v>79.3</v>
      </c>
      <c r="AZ122" s="67">
        <v>112.6</v>
      </c>
      <c r="BA122" s="67">
        <v>115</v>
      </c>
      <c r="BB122" s="68">
        <v>139.19999999999999</v>
      </c>
      <c r="BC122" s="100">
        <v>114.8</v>
      </c>
      <c r="BD122" s="101">
        <v>134.30000000000001</v>
      </c>
      <c r="BE122" s="101">
        <v>135.19999999999999</v>
      </c>
      <c r="BF122" s="102">
        <v>126.1</v>
      </c>
    </row>
    <row r="123" spans="2:74" x14ac:dyDescent="0.25">
      <c r="B123" t="s">
        <v>65</v>
      </c>
      <c r="C123" s="42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9" t="s">
        <v>66</v>
      </c>
      <c r="S123" s="19"/>
      <c r="T123" s="19"/>
      <c r="U123" s="19">
        <v>45.4</v>
      </c>
      <c r="V123" s="19">
        <v>100.6</v>
      </c>
      <c r="W123" s="19">
        <v>58.1</v>
      </c>
      <c r="X123" s="19">
        <v>147.4</v>
      </c>
      <c r="Y123" s="19">
        <v>58.8</v>
      </c>
      <c r="Z123" s="19">
        <v>67.099999999999994</v>
      </c>
      <c r="AA123" s="20">
        <v>80.099999999999994</v>
      </c>
      <c r="AB123" s="20">
        <f>91.8-13.4-6.2</f>
        <v>72.199999999999989</v>
      </c>
      <c r="AC123" s="20">
        <v>60.7</v>
      </c>
      <c r="AD123" s="20">
        <v>72</v>
      </c>
      <c r="AE123" s="20">
        <v>67</v>
      </c>
      <c r="AF123" s="20">
        <f>136.9-22.1-10.4</f>
        <v>104.4</v>
      </c>
      <c r="AG123" s="20">
        <v>54.8</v>
      </c>
      <c r="AH123" s="20">
        <v>57.1</v>
      </c>
      <c r="AI123" s="20">
        <v>47.1</v>
      </c>
      <c r="AJ123" s="20">
        <f>74.4-0.1</f>
        <v>74.300000000000011</v>
      </c>
      <c r="AK123" s="20">
        <v>47.1</v>
      </c>
      <c r="AL123" s="11">
        <v>62.4</v>
      </c>
      <c r="AM123" s="11">
        <v>52.2</v>
      </c>
      <c r="AN123" s="11">
        <v>42.1</v>
      </c>
      <c r="AO123" s="11">
        <v>50</v>
      </c>
      <c r="AP123" s="11">
        <v>51.5</v>
      </c>
      <c r="AQ123" s="11">
        <v>30.1</v>
      </c>
      <c r="AR123" s="11">
        <v>73</v>
      </c>
      <c r="AS123" s="11">
        <v>51.3</v>
      </c>
      <c r="AT123" s="11">
        <v>56.3</v>
      </c>
      <c r="AU123" s="11">
        <v>42.1</v>
      </c>
      <c r="AV123" s="11">
        <v>62.7</v>
      </c>
      <c r="AW123" s="11">
        <v>30.9</v>
      </c>
      <c r="AX123" s="11">
        <v>64.900000000000006</v>
      </c>
      <c r="AY123" s="85">
        <v>21</v>
      </c>
      <c r="AZ123" s="69">
        <v>23.2</v>
      </c>
      <c r="BA123" s="69">
        <v>15.9</v>
      </c>
      <c r="BB123" s="70">
        <v>41.8</v>
      </c>
      <c r="BC123" s="115">
        <v>14.6</v>
      </c>
      <c r="BD123" s="116">
        <v>32.1</v>
      </c>
      <c r="BE123" s="116">
        <v>13.4</v>
      </c>
      <c r="BF123" s="117">
        <v>26</v>
      </c>
    </row>
    <row r="124" spans="2:74" x14ac:dyDescent="0.25">
      <c r="B124" t="s">
        <v>67</v>
      </c>
      <c r="C124" s="4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1"/>
      <c r="AB124" s="11"/>
      <c r="AC124" s="11"/>
      <c r="AD124" s="11"/>
      <c r="AE124" s="11"/>
      <c r="AF124" s="11"/>
      <c r="AG124" s="11"/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85">
        <v>0</v>
      </c>
      <c r="AZ124" s="67">
        <v>0</v>
      </c>
      <c r="BA124" s="67">
        <v>0</v>
      </c>
      <c r="BB124" s="68">
        <v>0</v>
      </c>
      <c r="BC124" s="100">
        <v>0</v>
      </c>
      <c r="BD124" s="101">
        <v>0</v>
      </c>
      <c r="BE124" s="101">
        <v>0</v>
      </c>
      <c r="BF124" s="102">
        <v>0</v>
      </c>
    </row>
    <row r="125" spans="2:74" x14ac:dyDescent="0.25">
      <c r="B125" t="s">
        <v>68</v>
      </c>
      <c r="C125" s="42">
        <v>52.3</v>
      </c>
      <c r="D125" s="22">
        <v>67</v>
      </c>
      <c r="E125" s="22">
        <v>77.8</v>
      </c>
      <c r="F125" s="22">
        <v>102.7</v>
      </c>
      <c r="G125" s="22">
        <v>76.599999999999994</v>
      </c>
      <c r="H125" s="22">
        <v>116.5</v>
      </c>
      <c r="I125" s="22">
        <v>77</v>
      </c>
      <c r="J125" s="22">
        <v>82.8</v>
      </c>
      <c r="K125" s="22">
        <v>66.8</v>
      </c>
      <c r="L125" s="22">
        <v>68.5</v>
      </c>
      <c r="M125" s="22">
        <v>58.6</v>
      </c>
      <c r="N125" s="22">
        <v>58.2</v>
      </c>
      <c r="O125" s="22">
        <v>52.8</v>
      </c>
      <c r="P125" s="22">
        <v>51.8</v>
      </c>
      <c r="Q125" s="22">
        <v>44</v>
      </c>
      <c r="R125" s="22">
        <v>54.7</v>
      </c>
      <c r="S125" s="22">
        <v>64.2</v>
      </c>
      <c r="T125" s="22">
        <v>74.5</v>
      </c>
      <c r="U125" s="22">
        <f t="shared" ref="U125:AU125" si="138">+U124+U123+U122</f>
        <v>105.3</v>
      </c>
      <c r="V125" s="22">
        <f t="shared" si="138"/>
        <v>156.1</v>
      </c>
      <c r="W125" s="22">
        <f t="shared" si="138"/>
        <v>124</v>
      </c>
      <c r="X125" s="22">
        <f t="shared" si="138"/>
        <v>207.4</v>
      </c>
      <c r="Y125" s="22">
        <f t="shared" si="138"/>
        <v>133.80000000000001</v>
      </c>
      <c r="Z125" s="22">
        <f t="shared" si="138"/>
        <v>141.69999999999999</v>
      </c>
      <c r="AA125" s="21">
        <f t="shared" si="138"/>
        <v>149.80000000000001</v>
      </c>
      <c r="AB125" s="21">
        <f t="shared" si="138"/>
        <v>151.30000000000001</v>
      </c>
      <c r="AC125" s="21">
        <f t="shared" si="138"/>
        <v>153.5</v>
      </c>
      <c r="AD125" s="21">
        <f t="shared" si="138"/>
        <v>146.69999999999999</v>
      </c>
      <c r="AE125" s="21">
        <f t="shared" si="138"/>
        <v>138.5</v>
      </c>
      <c r="AF125" s="21">
        <f t="shared" si="138"/>
        <v>190.7</v>
      </c>
      <c r="AG125" s="21">
        <f t="shared" si="138"/>
        <v>149.6</v>
      </c>
      <c r="AH125" s="21">
        <f t="shared" si="138"/>
        <v>156.4</v>
      </c>
      <c r="AI125" s="21">
        <f t="shared" si="138"/>
        <v>157.1</v>
      </c>
      <c r="AJ125" s="21">
        <f t="shared" si="138"/>
        <v>187.5</v>
      </c>
      <c r="AK125" s="21">
        <f t="shared" si="138"/>
        <v>144.6</v>
      </c>
      <c r="AL125" s="21">
        <f t="shared" si="138"/>
        <v>160</v>
      </c>
      <c r="AM125" s="21">
        <f t="shared" si="138"/>
        <v>145.19999999999999</v>
      </c>
      <c r="AN125" s="21">
        <f t="shared" si="138"/>
        <v>152.4</v>
      </c>
      <c r="AO125" s="21">
        <f t="shared" si="138"/>
        <v>163.1</v>
      </c>
      <c r="AP125" s="21">
        <f t="shared" si="138"/>
        <v>150.4</v>
      </c>
      <c r="AQ125" s="21">
        <f t="shared" si="138"/>
        <v>129.5</v>
      </c>
      <c r="AR125" s="21">
        <f t="shared" si="138"/>
        <v>188</v>
      </c>
      <c r="AS125" s="21">
        <f t="shared" si="138"/>
        <v>175.5</v>
      </c>
      <c r="AT125" s="21">
        <f t="shared" si="138"/>
        <v>165.2</v>
      </c>
      <c r="AU125" s="21">
        <f t="shared" si="138"/>
        <v>149.5</v>
      </c>
      <c r="AV125" s="21">
        <f t="shared" ref="AV125:BA125" si="139">+AV124+AV123+AV122</f>
        <v>159.9</v>
      </c>
      <c r="AW125" s="21">
        <f t="shared" si="139"/>
        <v>98.699999999999989</v>
      </c>
      <c r="AX125" s="21">
        <f t="shared" si="139"/>
        <v>128.9</v>
      </c>
      <c r="AY125" s="66">
        <f t="shared" si="139"/>
        <v>100.3</v>
      </c>
      <c r="AZ125" s="69">
        <f t="shared" si="139"/>
        <v>135.79999999999998</v>
      </c>
      <c r="BA125" s="69">
        <f t="shared" si="139"/>
        <v>130.9</v>
      </c>
      <c r="BB125" s="70">
        <f t="shared" ref="BB125:BC125" si="140">+BB124+BB123+BB122</f>
        <v>181</v>
      </c>
      <c r="BC125" s="115">
        <f t="shared" si="140"/>
        <v>129.4</v>
      </c>
      <c r="BD125" s="116">
        <f t="shared" ref="BD125:BE125" si="141">+BD124+BD123+BD122</f>
        <v>166.4</v>
      </c>
      <c r="BE125" s="116">
        <f t="shared" si="141"/>
        <v>148.6</v>
      </c>
      <c r="BF125" s="117">
        <f t="shared" ref="BF125" si="142">+BF124+BF123+BF122</f>
        <v>152.1</v>
      </c>
    </row>
    <row r="126" spans="2:74" x14ac:dyDescent="0.2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Y126" s="81"/>
      <c r="AZ126" s="82"/>
      <c r="BA126" s="82"/>
      <c r="BB126" s="83"/>
      <c r="BC126" s="134"/>
      <c r="BD126" s="135"/>
      <c r="BE126" s="135"/>
      <c r="BF126" s="136"/>
    </row>
    <row r="127" spans="2:74" x14ac:dyDescent="0.25">
      <c r="B127" s="24" t="s">
        <v>69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25" t="s">
        <v>70</v>
      </c>
      <c r="V127" s="25"/>
      <c r="W127" s="25"/>
      <c r="X127" s="14"/>
      <c r="Y127" s="14"/>
      <c r="Z127" s="14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63"/>
      <c r="AZ127" s="57"/>
      <c r="BA127" s="57"/>
      <c r="BB127" s="58"/>
      <c r="BC127" s="108"/>
      <c r="BD127" s="106"/>
      <c r="BE127" s="106"/>
      <c r="BF127" s="107"/>
      <c r="BG127" s="1"/>
      <c r="BH127" s="2"/>
      <c r="BI127" s="2"/>
      <c r="BJ127" s="2"/>
      <c r="BK127" s="1"/>
      <c r="BL127" s="2"/>
      <c r="BM127" s="2"/>
      <c r="BN127" s="2"/>
      <c r="BO127" s="1"/>
      <c r="BP127" s="2"/>
      <c r="BQ127" s="2"/>
      <c r="BR127" s="2"/>
      <c r="BS127" s="1"/>
      <c r="BT127" s="2"/>
      <c r="BU127" s="2"/>
      <c r="BV127" s="2"/>
    </row>
    <row r="128" spans="2:74" x14ac:dyDescent="0.25">
      <c r="B128" s="11" t="s">
        <v>71</v>
      </c>
      <c r="C128" s="22">
        <v>577.9</v>
      </c>
      <c r="D128" s="22">
        <v>562</v>
      </c>
      <c r="E128" s="22">
        <v>510.1</v>
      </c>
      <c r="F128" s="22">
        <v>506.9</v>
      </c>
      <c r="G128" s="22">
        <v>495.4</v>
      </c>
      <c r="H128" s="22">
        <v>461</v>
      </c>
      <c r="I128" s="22">
        <v>428.5</v>
      </c>
      <c r="J128" s="22">
        <v>418.8</v>
      </c>
      <c r="K128" s="22">
        <v>430.1</v>
      </c>
      <c r="L128" s="22">
        <v>388.3</v>
      </c>
      <c r="M128" s="22">
        <v>385.4</v>
      </c>
      <c r="N128" s="22">
        <v>413.6</v>
      </c>
      <c r="O128" s="22">
        <v>393.8</v>
      </c>
      <c r="P128" s="22">
        <v>449.9</v>
      </c>
      <c r="Q128" s="22">
        <v>396.4</v>
      </c>
      <c r="R128" s="22">
        <v>487.8</v>
      </c>
      <c r="S128" s="22">
        <v>524.4</v>
      </c>
      <c r="T128" s="22">
        <v>594</v>
      </c>
      <c r="U128" s="22">
        <v>662.3</v>
      </c>
      <c r="V128" s="22">
        <v>666.8</v>
      </c>
      <c r="W128" s="22">
        <v>562.9</v>
      </c>
      <c r="X128" s="22">
        <v>591.5</v>
      </c>
      <c r="Y128" s="22">
        <v>578.20000000000005</v>
      </c>
      <c r="Z128" s="22">
        <v>629.6</v>
      </c>
      <c r="AA128" s="21">
        <v>575.79999999999995</v>
      </c>
      <c r="AB128" s="21">
        <v>831.6</v>
      </c>
      <c r="AC128" s="21">
        <v>683</v>
      </c>
      <c r="AD128" s="21">
        <v>851.9</v>
      </c>
      <c r="AE128" s="21">
        <v>720.3</v>
      </c>
      <c r="AF128" s="21">
        <v>800</v>
      </c>
      <c r="AG128" s="21">
        <v>826.3</v>
      </c>
      <c r="AH128" s="21">
        <v>877.7</v>
      </c>
      <c r="AI128" s="21">
        <v>688.2</v>
      </c>
      <c r="AJ128" s="21">
        <v>826.5</v>
      </c>
      <c r="AK128" s="21">
        <v>921</v>
      </c>
      <c r="AL128" s="21">
        <v>928.7</v>
      </c>
      <c r="AM128" s="21">
        <v>723.3</v>
      </c>
      <c r="AN128" s="21">
        <v>1010.1</v>
      </c>
      <c r="AO128" s="21">
        <v>1055.7</v>
      </c>
      <c r="AP128" s="21">
        <v>1221.2</v>
      </c>
      <c r="AQ128" s="21">
        <v>1032</v>
      </c>
      <c r="AR128" s="21">
        <v>1047.5</v>
      </c>
      <c r="AS128" s="21">
        <v>1055.9000000000001</v>
      </c>
      <c r="AT128" s="21">
        <v>777.6</v>
      </c>
      <c r="AU128" s="21">
        <v>874.8</v>
      </c>
      <c r="AV128" s="21">
        <v>1001.5</v>
      </c>
      <c r="AW128" s="21">
        <v>1158.4000000000001</v>
      </c>
      <c r="AX128" s="21">
        <v>1179.4000000000001</v>
      </c>
      <c r="AY128" s="66">
        <v>1075.9000000000001</v>
      </c>
      <c r="AZ128" s="69">
        <f>2184.6-AY128</f>
        <v>1108.6999999999998</v>
      </c>
      <c r="BA128" s="69">
        <v>1158.5999999999999</v>
      </c>
      <c r="BB128" s="70">
        <v>1223.0999999999999</v>
      </c>
      <c r="BC128" s="115">
        <v>829.4</v>
      </c>
      <c r="BD128" s="116">
        <f>2079.2-BC128</f>
        <v>1249.7999999999997</v>
      </c>
      <c r="BE128" s="116">
        <v>1342.9</v>
      </c>
      <c r="BF128" s="117">
        <v>1393.4</v>
      </c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2:74" x14ac:dyDescent="0.25">
      <c r="B129" s="11" t="s">
        <v>72</v>
      </c>
      <c r="C129" s="26">
        <v>-304.2</v>
      </c>
      <c r="D129" s="26">
        <v>-316.10000000000002</v>
      </c>
      <c r="E129" s="26">
        <v>-340.7</v>
      </c>
      <c r="F129" s="26">
        <v>-354</v>
      </c>
      <c r="G129" s="26">
        <v>-364.5</v>
      </c>
      <c r="H129" s="26">
        <v>-380.4</v>
      </c>
      <c r="I129" s="26">
        <v>-400.5</v>
      </c>
      <c r="J129" s="26">
        <v>-400.6</v>
      </c>
      <c r="K129" s="26">
        <v>-389.7</v>
      </c>
      <c r="L129" s="26">
        <v>-395.3</v>
      </c>
      <c r="M129" s="26">
        <v>-405.8</v>
      </c>
      <c r="N129" s="26">
        <v>-412.9</v>
      </c>
      <c r="O129" s="26">
        <v>-401.5</v>
      </c>
      <c r="P129" s="26">
        <v>-410.5</v>
      </c>
      <c r="Q129" s="26">
        <v>-390.9</v>
      </c>
      <c r="R129" s="26">
        <v>-409.2</v>
      </c>
      <c r="S129" s="26">
        <v>-408.8</v>
      </c>
      <c r="T129" s="26">
        <v>-405.8</v>
      </c>
      <c r="U129" s="26">
        <v>-378.5</v>
      </c>
      <c r="V129" s="26">
        <v>-392.1</v>
      </c>
      <c r="W129" s="26">
        <v>-387.9</v>
      </c>
      <c r="X129" s="26">
        <v>-392.2</v>
      </c>
      <c r="Y129" s="26">
        <v>-415.5</v>
      </c>
      <c r="Z129" s="26">
        <v>-420.2</v>
      </c>
      <c r="AA129" s="27">
        <v>-429.4</v>
      </c>
      <c r="AB129" s="27">
        <v>-459.6</v>
      </c>
      <c r="AC129" s="27">
        <v>-498.6</v>
      </c>
      <c r="AD129" s="27">
        <v>-503.1</v>
      </c>
      <c r="AE129" s="27">
        <v>-507.7</v>
      </c>
      <c r="AF129" s="27">
        <v>-528.20000000000005</v>
      </c>
      <c r="AG129" s="27">
        <v>-591.4</v>
      </c>
      <c r="AH129" s="27">
        <v>-576.1</v>
      </c>
      <c r="AI129" s="27">
        <v>-550.20000000000005</v>
      </c>
      <c r="AJ129" s="27">
        <v>-555.20000000000005</v>
      </c>
      <c r="AK129" s="27">
        <v>-627.20000000000005</v>
      </c>
      <c r="AL129" s="27">
        <v>-606.29999999999995</v>
      </c>
      <c r="AM129" s="27">
        <v>-549.4</v>
      </c>
      <c r="AN129" s="27">
        <v>-625.20000000000005</v>
      </c>
      <c r="AO129" s="27">
        <v>-628.29999999999995</v>
      </c>
      <c r="AP129" s="27">
        <v>-605.9</v>
      </c>
      <c r="AQ129" s="27">
        <v>-630.20000000000005</v>
      </c>
      <c r="AR129" s="27">
        <v>-673.2</v>
      </c>
      <c r="AS129" s="27">
        <v>-714.8</v>
      </c>
      <c r="AT129" s="27">
        <v>-618.5</v>
      </c>
      <c r="AU129" s="27">
        <v>-701.8</v>
      </c>
      <c r="AV129" s="27">
        <v>-736.9</v>
      </c>
      <c r="AW129" s="27">
        <v>-776.3</v>
      </c>
      <c r="AX129" s="27">
        <v>-788.8</v>
      </c>
      <c r="AY129" s="71">
        <v>-776.1</v>
      </c>
      <c r="AZ129" s="27">
        <f>-1584.2-AY129</f>
        <v>-808.1</v>
      </c>
      <c r="BA129" s="27">
        <v>-825.3</v>
      </c>
      <c r="BB129" s="72">
        <v>-794.5</v>
      </c>
      <c r="BC129" s="118">
        <v>-759.4</v>
      </c>
      <c r="BD129" s="26">
        <f>-1608.4-BC129</f>
        <v>-849.00000000000011</v>
      </c>
      <c r="BE129" s="26">
        <v>-908.3</v>
      </c>
      <c r="BF129" s="119">
        <v>-874.3</v>
      </c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2:74" x14ac:dyDescent="0.25">
      <c r="B130" s="11" t="s">
        <v>73</v>
      </c>
      <c r="C130" s="22">
        <f>+C129+C128</f>
        <v>273.7</v>
      </c>
      <c r="D130" s="22">
        <f>+D129+D128</f>
        <v>245.89999999999998</v>
      </c>
      <c r="E130" s="22">
        <f t="shared" ref="E130:AZ130" si="143">+E129+E128</f>
        <v>169.40000000000003</v>
      </c>
      <c r="F130" s="22">
        <f t="shared" si="143"/>
        <v>152.89999999999998</v>
      </c>
      <c r="G130" s="22">
        <f t="shared" si="143"/>
        <v>130.89999999999998</v>
      </c>
      <c r="H130" s="22">
        <f t="shared" si="143"/>
        <v>80.600000000000023</v>
      </c>
      <c r="I130" s="22">
        <f t="shared" si="143"/>
        <v>28</v>
      </c>
      <c r="J130" s="22">
        <f t="shared" si="143"/>
        <v>18.199999999999989</v>
      </c>
      <c r="K130" s="22">
        <f t="shared" si="143"/>
        <v>40.400000000000034</v>
      </c>
      <c r="L130" s="22">
        <f t="shared" si="143"/>
        <v>-7</v>
      </c>
      <c r="M130" s="22">
        <f t="shared" si="143"/>
        <v>-20.400000000000034</v>
      </c>
      <c r="N130" s="22">
        <f t="shared" si="143"/>
        <v>0.70000000000004547</v>
      </c>
      <c r="O130" s="22">
        <f t="shared" si="143"/>
        <v>-7.6999999999999886</v>
      </c>
      <c r="P130" s="22">
        <f t="shared" si="143"/>
        <v>39.399999999999977</v>
      </c>
      <c r="Q130" s="22">
        <f t="shared" si="143"/>
        <v>5.5</v>
      </c>
      <c r="R130" s="22">
        <f t="shared" si="143"/>
        <v>78.600000000000023</v>
      </c>
      <c r="S130" s="22">
        <f t="shared" si="143"/>
        <v>115.59999999999997</v>
      </c>
      <c r="T130" s="22">
        <f t="shared" si="143"/>
        <v>188.2</v>
      </c>
      <c r="U130" s="22">
        <f t="shared" si="143"/>
        <v>283.79999999999995</v>
      </c>
      <c r="V130" s="22">
        <f t="shared" si="143"/>
        <v>274.69999999999993</v>
      </c>
      <c r="W130" s="22">
        <f t="shared" si="143"/>
        <v>175</v>
      </c>
      <c r="X130" s="22">
        <f t="shared" si="143"/>
        <v>199.3</v>
      </c>
      <c r="Y130" s="22">
        <f t="shared" si="143"/>
        <v>162.70000000000005</v>
      </c>
      <c r="Z130" s="22">
        <f t="shared" si="143"/>
        <v>209.40000000000003</v>
      </c>
      <c r="AA130" s="21">
        <f t="shared" si="143"/>
        <v>146.39999999999998</v>
      </c>
      <c r="AB130" s="21">
        <f t="shared" si="143"/>
        <v>372</v>
      </c>
      <c r="AC130" s="21">
        <f t="shared" si="143"/>
        <v>184.39999999999998</v>
      </c>
      <c r="AD130" s="21">
        <f t="shared" si="143"/>
        <v>348.79999999999995</v>
      </c>
      <c r="AE130" s="21">
        <f t="shared" si="143"/>
        <v>212.59999999999997</v>
      </c>
      <c r="AF130" s="21">
        <f t="shared" si="143"/>
        <v>271.79999999999995</v>
      </c>
      <c r="AG130" s="21">
        <f t="shared" si="143"/>
        <v>234.89999999999998</v>
      </c>
      <c r="AH130" s="21">
        <f t="shared" si="143"/>
        <v>301.60000000000002</v>
      </c>
      <c r="AI130" s="21">
        <f t="shared" si="143"/>
        <v>138</v>
      </c>
      <c r="AJ130" s="21">
        <f t="shared" si="143"/>
        <v>271.29999999999995</v>
      </c>
      <c r="AK130" s="21">
        <f t="shared" si="143"/>
        <v>293.79999999999995</v>
      </c>
      <c r="AL130" s="21">
        <f t="shared" si="143"/>
        <v>322.40000000000009</v>
      </c>
      <c r="AM130" s="21">
        <f t="shared" si="143"/>
        <v>173.89999999999998</v>
      </c>
      <c r="AN130" s="21">
        <f t="shared" si="143"/>
        <v>384.9</v>
      </c>
      <c r="AO130" s="21">
        <f t="shared" si="143"/>
        <v>427.40000000000009</v>
      </c>
      <c r="AP130" s="21">
        <f t="shared" si="143"/>
        <v>615.30000000000007</v>
      </c>
      <c r="AQ130" s="21">
        <f t="shared" si="143"/>
        <v>401.79999999999995</v>
      </c>
      <c r="AR130" s="21">
        <f t="shared" si="143"/>
        <v>374.29999999999995</v>
      </c>
      <c r="AS130" s="21">
        <f t="shared" si="143"/>
        <v>341.10000000000014</v>
      </c>
      <c r="AT130" s="21">
        <f t="shared" si="143"/>
        <v>159.10000000000002</v>
      </c>
      <c r="AU130" s="21">
        <f t="shared" si="143"/>
        <v>173</v>
      </c>
      <c r="AV130" s="21">
        <f t="shared" si="143"/>
        <v>264.60000000000002</v>
      </c>
      <c r="AW130" s="21">
        <f t="shared" si="143"/>
        <v>382.10000000000014</v>
      </c>
      <c r="AX130" s="21">
        <f t="shared" si="143"/>
        <v>390.60000000000014</v>
      </c>
      <c r="AY130" s="66">
        <f t="shared" si="143"/>
        <v>299.80000000000007</v>
      </c>
      <c r="AZ130" s="69">
        <f t="shared" si="143"/>
        <v>300.5999999999998</v>
      </c>
      <c r="BA130" s="69">
        <f t="shared" ref="BA130:BB130" si="144">+BA129+BA128</f>
        <v>333.29999999999995</v>
      </c>
      <c r="BB130" s="70">
        <f t="shared" si="144"/>
        <v>428.59999999999991</v>
      </c>
      <c r="BC130" s="115">
        <f t="shared" ref="BC130:BD130" si="145">+BC129+BC128</f>
        <v>70</v>
      </c>
      <c r="BD130" s="116">
        <f t="shared" si="145"/>
        <v>400.79999999999961</v>
      </c>
      <c r="BE130" s="116">
        <f t="shared" ref="BE130:BF130" si="146">+BE129+BE128</f>
        <v>434.60000000000014</v>
      </c>
      <c r="BF130" s="117">
        <f t="shared" si="146"/>
        <v>519.10000000000014</v>
      </c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2:74" x14ac:dyDescent="0.25">
      <c r="B131" s="11" t="s">
        <v>74</v>
      </c>
      <c r="C131" s="22">
        <v>-22.5</v>
      </c>
      <c r="D131" s="22">
        <v>-16.7</v>
      </c>
      <c r="E131" s="22">
        <v>-21.6</v>
      </c>
      <c r="F131" s="22">
        <v>-22.4</v>
      </c>
      <c r="G131" s="22">
        <v>-25.1</v>
      </c>
      <c r="H131" s="22">
        <v>-16.600000000000001</v>
      </c>
      <c r="I131" s="22">
        <v>-21</v>
      </c>
      <c r="J131" s="22">
        <v>-20.7</v>
      </c>
      <c r="K131" s="22">
        <v>-21.1</v>
      </c>
      <c r="L131" s="22">
        <v>-21.8</v>
      </c>
      <c r="M131" s="22">
        <v>-21.6</v>
      </c>
      <c r="N131" s="22">
        <v>-22.6</v>
      </c>
      <c r="O131" s="22">
        <v>-21.9</v>
      </c>
      <c r="P131" s="22">
        <v>-21.5</v>
      </c>
      <c r="Q131" s="22">
        <v>-21.6</v>
      </c>
      <c r="R131" s="22">
        <v>-27.4</v>
      </c>
      <c r="S131" s="22">
        <v>-34.4</v>
      </c>
      <c r="T131" s="22">
        <v>-28.3</v>
      </c>
      <c r="U131" s="22">
        <v>-83.5</v>
      </c>
      <c r="V131" s="22">
        <v>-89.7</v>
      </c>
      <c r="W131" s="22">
        <v>-35.4</v>
      </c>
      <c r="X131" s="22">
        <v>-92</v>
      </c>
      <c r="Y131" s="22">
        <v>-63.9</v>
      </c>
      <c r="Z131" s="22">
        <v>-76</v>
      </c>
      <c r="AA131" s="21">
        <v>-63</v>
      </c>
      <c r="AB131" s="21">
        <v>-89.7</v>
      </c>
      <c r="AC131" s="21">
        <v>-98.9</v>
      </c>
      <c r="AD131" s="21">
        <v>-111.9</v>
      </c>
      <c r="AE131" s="21">
        <v>-99.6</v>
      </c>
      <c r="AF131" s="21">
        <v>-124.8</v>
      </c>
      <c r="AG131" s="21">
        <v>-143.5</v>
      </c>
      <c r="AH131" s="21">
        <v>-143</v>
      </c>
      <c r="AI131" s="21">
        <v>-118.3</v>
      </c>
      <c r="AJ131" s="21">
        <v>-136.80000000000001</v>
      </c>
      <c r="AK131" s="21">
        <v>-141.30000000000001</v>
      </c>
      <c r="AL131" s="21">
        <v>-121.8</v>
      </c>
      <c r="AM131" s="21">
        <v>-97.6</v>
      </c>
      <c r="AN131" s="21">
        <v>-139</v>
      </c>
      <c r="AO131" s="21">
        <v>-127.4</v>
      </c>
      <c r="AP131" s="21">
        <v>-150.4</v>
      </c>
      <c r="AQ131" s="21">
        <v>-145</v>
      </c>
      <c r="AR131" s="21">
        <v>-140.4</v>
      </c>
      <c r="AS131" s="21">
        <v>-144</v>
      </c>
      <c r="AT131" s="21">
        <v>-202.4</v>
      </c>
      <c r="AU131" s="21">
        <v>-135.6</v>
      </c>
      <c r="AV131" s="21">
        <v>-150.30000000000001</v>
      </c>
      <c r="AW131" s="21">
        <v>-118.4</v>
      </c>
      <c r="AX131" s="21">
        <v>-123.8</v>
      </c>
      <c r="AY131" s="66">
        <v>-112.5</v>
      </c>
      <c r="AZ131" s="69">
        <f>-225.6-AY131</f>
        <v>-113.1</v>
      </c>
      <c r="BA131" s="69">
        <v>-114.6</v>
      </c>
      <c r="BB131" s="70">
        <v>-128.19999999999999</v>
      </c>
      <c r="BC131" s="115">
        <v>-106</v>
      </c>
      <c r="BD131" s="116">
        <f>-274.8-BC131</f>
        <v>-168.8</v>
      </c>
      <c r="BE131" s="116">
        <v>-196.9</v>
      </c>
      <c r="BF131" s="117">
        <v>-267.7</v>
      </c>
    </row>
    <row r="132" spans="2:74" x14ac:dyDescent="0.25">
      <c r="B132" s="11" t="s">
        <v>75</v>
      </c>
      <c r="C132" s="22">
        <v>2.4</v>
      </c>
      <c r="D132" s="22">
        <v>4.9000000000000004</v>
      </c>
      <c r="E132" s="22">
        <v>0.9</v>
      </c>
      <c r="F132" s="22">
        <v>0.5</v>
      </c>
      <c r="G132" s="22">
        <v>0.7</v>
      </c>
      <c r="H132" s="22">
        <f>-5.9-1</f>
        <v>-6.9</v>
      </c>
      <c r="I132" s="22">
        <v>-0.2</v>
      </c>
      <c r="J132" s="22">
        <f>-4.6+0.1</f>
        <v>-4.5</v>
      </c>
      <c r="K132" s="22">
        <v>-11.7</v>
      </c>
      <c r="L132" s="19">
        <f>-43-426.2</f>
        <v>-469.2</v>
      </c>
      <c r="M132" s="22">
        <v>25.5</v>
      </c>
      <c r="N132" s="22">
        <v>19.600000000000001</v>
      </c>
      <c r="O132" s="22">
        <v>-52.7</v>
      </c>
      <c r="P132" s="19">
        <f>-1-58.4</f>
        <v>-59.4</v>
      </c>
      <c r="Q132" s="22">
        <f>-15+0.4</f>
        <v>-14.6</v>
      </c>
      <c r="R132" s="22">
        <f>-12.7+0.7</f>
        <v>-12</v>
      </c>
      <c r="S132" s="22">
        <f>-11.3+6.1</f>
        <v>-5.2000000000000011</v>
      </c>
      <c r="T132" s="22">
        <f>-14.6+4.6</f>
        <v>-10</v>
      </c>
      <c r="U132" s="22">
        <f>-10.6+3.7</f>
        <v>-6.8999999999999995</v>
      </c>
      <c r="V132" s="22">
        <f>-11.3+2.1</f>
        <v>-9.2000000000000011</v>
      </c>
      <c r="W132" s="22">
        <f>-9+0.5</f>
        <v>-8.5</v>
      </c>
      <c r="X132" s="22">
        <f>-14+5.6</f>
        <v>-8.4</v>
      </c>
      <c r="Y132" s="22">
        <f>-11+0.3</f>
        <v>-10.7</v>
      </c>
      <c r="Z132" s="22">
        <f>-7.7+0.5</f>
        <v>-7.2</v>
      </c>
      <c r="AA132" s="21">
        <f>-37.2+2.7</f>
        <v>-34.5</v>
      </c>
      <c r="AB132" s="21">
        <f>-7.2+0.4</f>
        <v>-6.8</v>
      </c>
      <c r="AC132" s="21">
        <f>-10.3+0.2</f>
        <v>-10.100000000000001</v>
      </c>
      <c r="AD132" s="21">
        <f>-5.5</f>
        <v>-5.5</v>
      </c>
      <c r="AE132" s="21">
        <f>-6.7+0.1</f>
        <v>-6.6000000000000005</v>
      </c>
      <c r="AF132" s="21">
        <f>-1.5-39.8</f>
        <v>-41.3</v>
      </c>
      <c r="AG132" s="21">
        <f>-9-3.6</f>
        <v>-12.6</v>
      </c>
      <c r="AH132" s="21">
        <f>-12.6</f>
        <v>-12.6</v>
      </c>
      <c r="AI132" s="21">
        <f>-12.1+0.8</f>
        <v>-11.299999999999999</v>
      </c>
      <c r="AJ132" s="21">
        <f>-9.7-2.5</f>
        <v>-12.2</v>
      </c>
      <c r="AK132" s="21">
        <f>-16.2-23</f>
        <v>-39.200000000000003</v>
      </c>
      <c r="AL132" s="21">
        <f>6.5-308.2</f>
        <v>-301.7</v>
      </c>
      <c r="AM132" s="21">
        <f>-10.7-12.2</f>
        <v>-22.9</v>
      </c>
      <c r="AN132" s="21">
        <f>-10.9-6</f>
        <v>-16.899999999999999</v>
      </c>
      <c r="AO132" s="21">
        <f>-11.5-12</f>
        <v>-23.5</v>
      </c>
      <c r="AP132" s="21">
        <f>-13.1-4.6</f>
        <v>-17.7</v>
      </c>
      <c r="AQ132" s="21">
        <f>-12.9-2.9</f>
        <v>-15.8</v>
      </c>
      <c r="AR132" s="21">
        <f>-14.1-2.3</f>
        <v>-16.399999999999999</v>
      </c>
      <c r="AS132" s="21">
        <f>-17.1-0.5</f>
        <v>-17.600000000000001</v>
      </c>
      <c r="AT132" s="21">
        <f>-24.8-2.3</f>
        <v>-27.1</v>
      </c>
      <c r="AU132" s="21">
        <v>-43.4</v>
      </c>
      <c r="AV132" s="21">
        <v>-912</v>
      </c>
      <c r="AW132" s="21">
        <v>-21.2</v>
      </c>
      <c r="AX132" s="21">
        <v>-38.799999999999997</v>
      </c>
      <c r="AY132" s="66">
        <v>-48.8</v>
      </c>
      <c r="AZ132" s="69">
        <v>-24.7</v>
      </c>
      <c r="BA132" s="69">
        <v>-40.4</v>
      </c>
      <c r="BB132" s="70">
        <v>454.2</v>
      </c>
      <c r="BC132" s="115">
        <v>-21.7</v>
      </c>
      <c r="BD132" s="116">
        <f>-36.8-BC132</f>
        <v>-15.099999999999998</v>
      </c>
      <c r="BE132" s="116">
        <v>-19.399999999999999</v>
      </c>
      <c r="BF132" s="117">
        <f>-42-6.9</f>
        <v>-48.9</v>
      </c>
    </row>
    <row r="133" spans="2:74" x14ac:dyDescent="0.25">
      <c r="B133" s="11" t="s">
        <v>76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  <c r="AC133" s="29"/>
      <c r="AD133" s="29"/>
      <c r="AE133" s="29"/>
      <c r="AF133" s="29"/>
      <c r="AG133" s="29"/>
      <c r="AH133" s="29"/>
      <c r="AI133" s="21">
        <v>-1.3</v>
      </c>
      <c r="AJ133" s="21">
        <v>-4.0999999999999996</v>
      </c>
      <c r="AK133" s="21">
        <v>-4.5999999999999996</v>
      </c>
      <c r="AL133" s="21">
        <v>-4.5999999999999996</v>
      </c>
      <c r="AM133" s="21">
        <v>-3.6</v>
      </c>
      <c r="AN133" s="21">
        <v>-5.0999999999999996</v>
      </c>
      <c r="AO133" s="21">
        <v>-5.3</v>
      </c>
      <c r="AP133" s="21">
        <v>-19</v>
      </c>
      <c r="AQ133" s="21">
        <v>-25.4</v>
      </c>
      <c r="AR133" s="21">
        <v>-20.7</v>
      </c>
      <c r="AS133" s="21">
        <v>-18.399999999999999</v>
      </c>
      <c r="AT133" s="21">
        <v>-6</v>
      </c>
      <c r="AU133" s="21">
        <v>-5.6</v>
      </c>
      <c r="AV133" s="21">
        <v>-8.3000000000000007</v>
      </c>
      <c r="AW133" s="21">
        <v>-26.6</v>
      </c>
      <c r="AX133" s="21">
        <v>-28.7</v>
      </c>
      <c r="AY133" s="66">
        <v>-17.100000000000001</v>
      </c>
      <c r="AZ133" s="69">
        <f>-35-AY133</f>
        <v>-17.899999999999999</v>
      </c>
      <c r="BA133" s="69">
        <v>-21</v>
      </c>
      <c r="BB133" s="70">
        <v>-26.1</v>
      </c>
      <c r="BC133" s="115">
        <v>-4.0999999999999996</v>
      </c>
      <c r="BD133" s="116">
        <f>-23.3-BC133</f>
        <v>-19.200000000000003</v>
      </c>
      <c r="BE133" s="116">
        <v>-27.2</v>
      </c>
      <c r="BF133" s="117">
        <v>-38.200000000000003</v>
      </c>
    </row>
    <row r="134" spans="2:74" x14ac:dyDescent="0.25">
      <c r="B134" s="11" t="s">
        <v>77</v>
      </c>
      <c r="C134" s="22">
        <v>-1.2</v>
      </c>
      <c r="D134" s="22">
        <v>27.9</v>
      </c>
      <c r="E134" s="22">
        <v>-59.8</v>
      </c>
      <c r="F134" s="22">
        <v>-55.5</v>
      </c>
      <c r="G134" s="22">
        <v>-44.3</v>
      </c>
      <c r="H134" s="22">
        <v>-26.3</v>
      </c>
      <c r="I134" s="22">
        <v>-3.9</v>
      </c>
      <c r="J134" s="22">
        <v>2.7</v>
      </c>
      <c r="K134" s="22">
        <v>-3</v>
      </c>
      <c r="L134" s="22">
        <v>141</v>
      </c>
      <c r="M134" s="22">
        <v>6.2</v>
      </c>
      <c r="N134" s="22">
        <v>0.5</v>
      </c>
      <c r="O134" s="22">
        <v>31.5</v>
      </c>
      <c r="P134" s="22">
        <v>-44.7</v>
      </c>
      <c r="Q134" s="22">
        <v>12.8</v>
      </c>
      <c r="R134" s="22">
        <v>-16.8</v>
      </c>
      <c r="S134" s="22">
        <v>-31.4</v>
      </c>
      <c r="T134" s="22">
        <v>-60.2</v>
      </c>
      <c r="U134" s="22">
        <v>-73.099999999999994</v>
      </c>
      <c r="V134" s="22">
        <v>-67.900000000000006</v>
      </c>
      <c r="W134" s="22">
        <v>-50.3</v>
      </c>
      <c r="X134" s="22">
        <v>-37.1</v>
      </c>
      <c r="Y134" s="22">
        <v>-33.1</v>
      </c>
      <c r="Z134" s="22">
        <v>-47.6</v>
      </c>
      <c r="AA134" s="21">
        <v>-17.5</v>
      </c>
      <c r="AB134" s="21">
        <v>-108.1</v>
      </c>
      <c r="AC134" s="21">
        <v>-31.4</v>
      </c>
      <c r="AD134" s="21">
        <v>-87.7</v>
      </c>
      <c r="AE134" s="21">
        <v>-43.3</v>
      </c>
      <c r="AF134" s="21">
        <v>-34.700000000000003</v>
      </c>
      <c r="AG134" s="21">
        <v>-35.799999999999997</v>
      </c>
      <c r="AH134" s="21">
        <f>-55.2-0.3</f>
        <v>-55.5</v>
      </c>
      <c r="AI134" s="21">
        <f>-5.3+0.2</f>
        <v>-5.0999999999999996</v>
      </c>
      <c r="AJ134" s="21">
        <f>-45.7-1.1</f>
        <v>-46.800000000000004</v>
      </c>
      <c r="AK134" s="21">
        <f>-66.6-1</f>
        <v>-67.599999999999994</v>
      </c>
      <c r="AL134" s="21">
        <f>10.4-1.7</f>
        <v>8.7000000000000011</v>
      </c>
      <c r="AM134" s="21">
        <f>-20.4-0.7</f>
        <v>-21.099999999999998</v>
      </c>
      <c r="AN134" s="21">
        <f>-81.7-0</f>
        <v>-81.7</v>
      </c>
      <c r="AO134" s="21">
        <f>-97.9-0.4</f>
        <v>-98.300000000000011</v>
      </c>
      <c r="AP134" s="21">
        <f>-113.4-1.1</f>
        <v>-114.5</v>
      </c>
      <c r="AQ134" s="21">
        <f>237-59.5</f>
        <v>177.5</v>
      </c>
      <c r="AR134" s="21">
        <f>-9.8-41</f>
        <v>-50.8</v>
      </c>
      <c r="AS134" s="21">
        <f>-8.7-31</f>
        <v>-39.700000000000003</v>
      </c>
      <c r="AT134" s="21">
        <f>19.7+10</f>
        <v>29.7</v>
      </c>
      <c r="AU134" s="21">
        <v>-1.8</v>
      </c>
      <c r="AV134" s="21">
        <v>224</v>
      </c>
      <c r="AW134" s="21">
        <f>-28.3-0.5</f>
        <v>-28.8</v>
      </c>
      <c r="AX134" s="21">
        <f>-68.1+113.5</f>
        <v>45.400000000000006</v>
      </c>
      <c r="AY134" s="66">
        <f>-1.3-25.3</f>
        <v>-26.6</v>
      </c>
      <c r="AZ134" s="69">
        <f>-56.4-5.2-AY134</f>
        <v>-35</v>
      </c>
      <c r="BA134" s="69">
        <f>-39.1+4.8</f>
        <v>-34.300000000000004</v>
      </c>
      <c r="BB134" s="70">
        <f>-58.4-128.1</f>
        <v>-186.5</v>
      </c>
      <c r="BC134" s="115">
        <v>12.4</v>
      </c>
      <c r="BD134" s="116">
        <f>-7.7-3.5-BC134</f>
        <v>-23.6</v>
      </c>
      <c r="BE134" s="116">
        <f>-50.6+7.7</f>
        <v>-42.9</v>
      </c>
      <c r="BF134" s="117">
        <f>-101.2+42.6</f>
        <v>-58.6</v>
      </c>
    </row>
    <row r="135" spans="2:74" ht="15.75" thickBot="1" x14ac:dyDescent="0.3">
      <c r="B135" s="11" t="s">
        <v>78</v>
      </c>
      <c r="C135" s="30">
        <f>SUM(C130:C134)</f>
        <v>252.4</v>
      </c>
      <c r="D135" s="30">
        <f t="shared" ref="D135:AZ135" si="147">SUM(D130:D134)</f>
        <v>262</v>
      </c>
      <c r="E135" s="30">
        <f t="shared" si="147"/>
        <v>88.900000000000048</v>
      </c>
      <c r="F135" s="30">
        <f t="shared" si="147"/>
        <v>75.499999999999972</v>
      </c>
      <c r="G135" s="30">
        <f t="shared" si="147"/>
        <v>62.199999999999989</v>
      </c>
      <c r="H135" s="30">
        <f t="shared" si="147"/>
        <v>30.800000000000029</v>
      </c>
      <c r="I135" s="30">
        <f t="shared" si="147"/>
        <v>2.9</v>
      </c>
      <c r="J135" s="30">
        <f t="shared" si="147"/>
        <v>-4.3000000000000105</v>
      </c>
      <c r="K135" s="30">
        <f t="shared" si="147"/>
        <v>4.6000000000000334</v>
      </c>
      <c r="L135" s="30">
        <f t="shared" si="147"/>
        <v>-357</v>
      </c>
      <c r="M135" s="30">
        <f t="shared" si="147"/>
        <v>-10.300000000000036</v>
      </c>
      <c r="N135" s="30">
        <f t="shared" si="147"/>
        <v>-1.7999999999999545</v>
      </c>
      <c r="O135" s="30">
        <f t="shared" si="147"/>
        <v>-50.799999999999983</v>
      </c>
      <c r="P135" s="30">
        <f t="shared" si="147"/>
        <v>-86.200000000000017</v>
      </c>
      <c r="Q135" s="30">
        <f t="shared" si="147"/>
        <v>-17.900000000000002</v>
      </c>
      <c r="R135" s="30">
        <f t="shared" si="147"/>
        <v>22.400000000000023</v>
      </c>
      <c r="S135" s="30">
        <f t="shared" si="147"/>
        <v>44.599999999999959</v>
      </c>
      <c r="T135" s="30">
        <f t="shared" si="147"/>
        <v>89.699999999999974</v>
      </c>
      <c r="U135" s="30">
        <f t="shared" si="147"/>
        <v>120.29999999999995</v>
      </c>
      <c r="V135" s="30">
        <f t="shared" si="147"/>
        <v>107.89999999999995</v>
      </c>
      <c r="W135" s="30">
        <f t="shared" si="147"/>
        <v>80.8</v>
      </c>
      <c r="X135" s="30">
        <f t="shared" si="147"/>
        <v>61.800000000000004</v>
      </c>
      <c r="Y135" s="30">
        <f t="shared" si="147"/>
        <v>55.000000000000036</v>
      </c>
      <c r="Z135" s="30">
        <f t="shared" si="147"/>
        <v>78.600000000000023</v>
      </c>
      <c r="AA135" s="31">
        <f t="shared" si="147"/>
        <v>31.399999999999977</v>
      </c>
      <c r="AB135" s="31">
        <f t="shared" si="147"/>
        <v>167.4</v>
      </c>
      <c r="AC135" s="31">
        <f t="shared" si="147"/>
        <v>43.999999999999979</v>
      </c>
      <c r="AD135" s="31">
        <f t="shared" si="147"/>
        <v>143.69999999999993</v>
      </c>
      <c r="AE135" s="31">
        <f t="shared" si="147"/>
        <v>63.09999999999998</v>
      </c>
      <c r="AF135" s="31">
        <f t="shared" si="147"/>
        <v>70.999999999999943</v>
      </c>
      <c r="AG135" s="31">
        <f t="shared" si="147"/>
        <v>42.999999999999986</v>
      </c>
      <c r="AH135" s="31">
        <f t="shared" si="147"/>
        <v>90.500000000000028</v>
      </c>
      <c r="AI135" s="31">
        <f t="shared" si="147"/>
        <v>2.0000000000000044</v>
      </c>
      <c r="AJ135" s="31">
        <f t="shared" si="147"/>
        <v>71.399999999999949</v>
      </c>
      <c r="AK135" s="31">
        <f t="shared" si="147"/>
        <v>41.099999999999952</v>
      </c>
      <c r="AL135" s="31">
        <f t="shared" si="147"/>
        <v>-96.999999999999901</v>
      </c>
      <c r="AM135" s="31">
        <f t="shared" si="147"/>
        <v>28.699999999999985</v>
      </c>
      <c r="AN135" s="31">
        <f t="shared" si="147"/>
        <v>142.19999999999999</v>
      </c>
      <c r="AO135" s="31">
        <f t="shared" si="147"/>
        <v>172.90000000000009</v>
      </c>
      <c r="AP135" s="31">
        <f t="shared" si="147"/>
        <v>313.7000000000001</v>
      </c>
      <c r="AQ135" s="31">
        <f t="shared" si="147"/>
        <v>393.09999999999991</v>
      </c>
      <c r="AR135" s="31">
        <f t="shared" si="147"/>
        <v>145.99999999999994</v>
      </c>
      <c r="AS135" s="31">
        <f t="shared" si="147"/>
        <v>121.40000000000013</v>
      </c>
      <c r="AT135" s="31">
        <f t="shared" si="147"/>
        <v>-46.699999999999974</v>
      </c>
      <c r="AU135" s="31">
        <f t="shared" si="147"/>
        <v>-13.399999999999993</v>
      </c>
      <c r="AV135" s="31">
        <f t="shared" si="147"/>
        <v>-582</v>
      </c>
      <c r="AW135" s="31">
        <f t="shared" si="147"/>
        <v>187.10000000000016</v>
      </c>
      <c r="AX135" s="31">
        <f t="shared" si="147"/>
        <v>244.70000000000013</v>
      </c>
      <c r="AY135" s="73">
        <f t="shared" si="147"/>
        <v>94.800000000000068</v>
      </c>
      <c r="AZ135" s="31">
        <f t="shared" si="147"/>
        <v>109.89999999999981</v>
      </c>
      <c r="BA135" s="31">
        <f t="shared" ref="BA135:BB135" si="148">SUM(BA130:BA134)</f>
        <v>122.99999999999994</v>
      </c>
      <c r="BB135" s="74">
        <f t="shared" si="148"/>
        <v>541.99999999999989</v>
      </c>
      <c r="BC135" s="120">
        <f t="shared" ref="BC135:BD135" si="149">SUM(BC130:BC134)</f>
        <v>-49.400000000000006</v>
      </c>
      <c r="BD135" s="30">
        <f t="shared" si="149"/>
        <v>174.0999999999996</v>
      </c>
      <c r="BE135" s="30">
        <f t="shared" ref="BE135:BF135" si="150">SUM(BE130:BE134)</f>
        <v>148.20000000000013</v>
      </c>
      <c r="BF135" s="121">
        <f t="shared" si="150"/>
        <v>105.70000000000013</v>
      </c>
    </row>
    <row r="136" spans="2:74" ht="16.5" thickTop="1" x14ac:dyDescent="0.25">
      <c r="B136" s="39" t="str">
        <f>+B102</f>
        <v>Beatrix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43" t="s">
        <v>110</v>
      </c>
      <c r="AW136" s="43"/>
      <c r="AX136" s="43"/>
      <c r="AY136" s="86"/>
      <c r="AZ136" s="57"/>
      <c r="BA136" s="57"/>
      <c r="BB136" s="58"/>
      <c r="BC136" s="108"/>
      <c r="BD136" s="106"/>
      <c r="BE136" s="106"/>
      <c r="BF136" s="107"/>
    </row>
    <row r="137" spans="2:74" x14ac:dyDescent="0.25">
      <c r="B137" s="24" t="s">
        <v>79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63"/>
      <c r="AZ137" s="57"/>
      <c r="BA137" s="57"/>
      <c r="BB137" s="58"/>
      <c r="BC137" s="108"/>
      <c r="BD137" s="106"/>
      <c r="BE137" s="106"/>
      <c r="BF137" s="107"/>
    </row>
    <row r="138" spans="2:74" x14ac:dyDescent="0.25">
      <c r="B138" t="s">
        <v>80</v>
      </c>
      <c r="C138" s="14">
        <f>+C128*(1000000)/(C116)</f>
        <v>108444.36104334772</v>
      </c>
      <c r="D138" s="14">
        <f t="shared" ref="D138:AY138" si="151">+D128*(1000000)/(D116)</f>
        <v>104889.88428518103</v>
      </c>
      <c r="E138" s="14">
        <f t="shared" si="151"/>
        <v>104635.89743589744</v>
      </c>
      <c r="F138" s="14">
        <f t="shared" si="151"/>
        <v>100059.21831819977</v>
      </c>
      <c r="G138" s="14">
        <f t="shared" si="151"/>
        <v>94831.546707503832</v>
      </c>
      <c r="H138" s="14">
        <f t="shared" si="151"/>
        <v>86605.297764418559</v>
      </c>
      <c r="I138" s="14">
        <f t="shared" si="151"/>
        <v>86548.172086447186</v>
      </c>
      <c r="J138" s="14">
        <f t="shared" si="151"/>
        <v>83743.251349730053</v>
      </c>
      <c r="K138" s="14">
        <f t="shared" si="151"/>
        <v>89362.144192811131</v>
      </c>
      <c r="L138" s="14">
        <f t="shared" si="151"/>
        <v>83112.15753424658</v>
      </c>
      <c r="M138" s="14">
        <f t="shared" si="151"/>
        <v>82562.125107112253</v>
      </c>
      <c r="N138" s="14">
        <f t="shared" si="151"/>
        <v>84390.940624362382</v>
      </c>
      <c r="O138" s="14">
        <f t="shared" si="151"/>
        <v>82488.479262672816</v>
      </c>
      <c r="P138" s="14">
        <f t="shared" si="151"/>
        <v>88650.246305418725</v>
      </c>
      <c r="Q138" s="14">
        <f t="shared" si="151"/>
        <v>91929.499072356222</v>
      </c>
      <c r="R138" s="14">
        <f t="shared" si="151"/>
        <v>101245.3300124533</v>
      </c>
      <c r="S138" s="14">
        <f t="shared" si="151"/>
        <v>108864.43844716629</v>
      </c>
      <c r="T138" s="14">
        <f t="shared" si="151"/>
        <v>129299.08576404005</v>
      </c>
      <c r="U138" s="14">
        <f t="shared" si="151"/>
        <v>142860.22433132012</v>
      </c>
      <c r="V138" s="14">
        <f t="shared" si="151"/>
        <v>143397.84946236559</v>
      </c>
      <c r="W138" s="14">
        <f t="shared" si="151"/>
        <v>151806.90399137003</v>
      </c>
      <c r="X138" s="14">
        <f t="shared" si="151"/>
        <v>151317.47249936045</v>
      </c>
      <c r="Y138" s="14">
        <f t="shared" si="151"/>
        <v>155975.18208794174</v>
      </c>
      <c r="Z138" s="14">
        <f t="shared" si="151"/>
        <v>170254.19145484045</v>
      </c>
      <c r="AA138" s="13">
        <f t="shared" si="151"/>
        <v>226514.55546813534</v>
      </c>
      <c r="AB138" s="13">
        <f t="shared" si="151"/>
        <v>226101.14192495923</v>
      </c>
      <c r="AC138" s="13">
        <f t="shared" si="151"/>
        <v>216413.18124207857</v>
      </c>
      <c r="AD138" s="13">
        <f t="shared" si="151"/>
        <v>256596.38554216866</v>
      </c>
      <c r="AE138" s="13">
        <f t="shared" si="151"/>
        <v>289393.33065488149</v>
      </c>
      <c r="AF138" s="13">
        <f t="shared" si="151"/>
        <v>250078.14942169428</v>
      </c>
      <c r="AG138" s="13">
        <f t="shared" si="151"/>
        <v>240413.15100378238</v>
      </c>
      <c r="AH138" s="13">
        <f t="shared" si="151"/>
        <v>264526.8233875829</v>
      </c>
      <c r="AI138" s="13">
        <f t="shared" si="151"/>
        <v>267054.71478463331</v>
      </c>
      <c r="AJ138" s="13">
        <f t="shared" si="151"/>
        <v>289390.75630252098</v>
      </c>
      <c r="AK138" s="13">
        <f t="shared" si="151"/>
        <v>287632.72954403498</v>
      </c>
      <c r="AL138" s="13">
        <f t="shared" si="151"/>
        <v>301525.97402597405</v>
      </c>
      <c r="AM138" s="13">
        <f t="shared" si="151"/>
        <v>312575.62662057043</v>
      </c>
      <c r="AN138" s="13">
        <f t="shared" si="151"/>
        <v>331397.6377952756</v>
      </c>
      <c r="AO138" s="13">
        <f t="shared" si="151"/>
        <v>400493.17147192714</v>
      </c>
      <c r="AP138" s="13">
        <f t="shared" si="151"/>
        <v>437863.03334528505</v>
      </c>
      <c r="AQ138" s="13">
        <f t="shared" si="151"/>
        <v>419171.40536149475</v>
      </c>
      <c r="AR138" s="13">
        <f t="shared" si="151"/>
        <v>422890.59345983044</v>
      </c>
      <c r="AS138" s="13">
        <f t="shared" si="151"/>
        <v>437225.67287784687</v>
      </c>
      <c r="AT138" s="13">
        <f t="shared" si="151"/>
        <v>477934.84941610327</v>
      </c>
      <c r="AU138" s="13">
        <f t="shared" si="151"/>
        <v>471082.39095315023</v>
      </c>
      <c r="AV138" s="13">
        <f t="shared" si="151"/>
        <v>434301.82133564615</v>
      </c>
      <c r="AW138" s="13">
        <f t="shared" si="151"/>
        <v>426038.9849209268</v>
      </c>
      <c r="AX138" s="13">
        <f t="shared" si="151"/>
        <v>415281.69014084508</v>
      </c>
      <c r="AY138" s="63">
        <f t="shared" si="151"/>
        <v>453774.77857444115</v>
      </c>
      <c r="AZ138" s="64">
        <f t="shared" ref="AZ138:BE138" si="152">+AZ128*(1000000)/(AZ116)</f>
        <v>436496.06299212587</v>
      </c>
      <c r="BA138" s="64">
        <f t="shared" si="152"/>
        <v>441539.63414634147</v>
      </c>
      <c r="BB138" s="65">
        <f t="shared" si="152"/>
        <v>433877.26144022704</v>
      </c>
      <c r="BC138" s="112">
        <f t="shared" si="152"/>
        <v>460777.77777777775</v>
      </c>
      <c r="BD138" s="113">
        <f t="shared" si="152"/>
        <v>462717.51203258045</v>
      </c>
      <c r="BE138" s="113">
        <f t="shared" si="152"/>
        <v>471855.2354181307</v>
      </c>
      <c r="BF138" s="114">
        <f t="shared" ref="BF138" si="153">+BF128*(1000000)/(BF116)</f>
        <v>505221.174764322</v>
      </c>
    </row>
    <row r="139" spans="2:74" x14ac:dyDescent="0.25">
      <c r="B139" t="s">
        <v>81</v>
      </c>
      <c r="C139" s="14">
        <f>+C138/(32.15074)/(C148)</f>
        <v>292.54096764354966</v>
      </c>
      <c r="D139" s="14">
        <f t="shared" ref="D139:AZ139" si="154">+D138/(32.15074)/(D148)</f>
        <v>310.41301131863395</v>
      </c>
      <c r="E139" s="14">
        <f t="shared" si="154"/>
        <v>313.53958316672873</v>
      </c>
      <c r="F139" s="14">
        <f t="shared" si="154"/>
        <v>318.54556923531527</v>
      </c>
      <c r="G139" s="14">
        <f t="shared" si="154"/>
        <v>351.97988252358357</v>
      </c>
      <c r="H139" s="14">
        <f t="shared" si="154"/>
        <v>348.02666926618878</v>
      </c>
      <c r="I139" s="14">
        <f t="shared" si="154"/>
        <v>361.82118448357784</v>
      </c>
      <c r="J139" s="14">
        <f t="shared" si="154"/>
        <v>385.31165793981791</v>
      </c>
      <c r="K139" s="14">
        <f t="shared" si="154"/>
        <v>409.34815118789487</v>
      </c>
      <c r="L139" s="14">
        <f t="shared" si="154"/>
        <v>391.67842300216148</v>
      </c>
      <c r="M139" s="14">
        <f t="shared" si="154"/>
        <v>403.76881564188267</v>
      </c>
      <c r="N139" s="14">
        <f t="shared" si="154"/>
        <v>428.89741831963272</v>
      </c>
      <c r="O139" s="14">
        <f t="shared" si="154"/>
        <v>431.20655885721692</v>
      </c>
      <c r="P139" s="14">
        <f t="shared" si="154"/>
        <v>431.50726801525121</v>
      </c>
      <c r="Q139" s="14">
        <f t="shared" si="154"/>
        <v>438.54718187327961</v>
      </c>
      <c r="R139" s="14">
        <f t="shared" si="154"/>
        <v>482.2484558240115</v>
      </c>
      <c r="S139" s="14">
        <f t="shared" si="154"/>
        <v>551.47609566505764</v>
      </c>
      <c r="T139" s="14">
        <f t="shared" si="154"/>
        <v>629.3665001526366</v>
      </c>
      <c r="U139" s="14">
        <f t="shared" si="154"/>
        <v>625.8381099944811</v>
      </c>
      <c r="V139" s="14">
        <f t="shared" si="154"/>
        <v>604.35943023954098</v>
      </c>
      <c r="W139" s="14">
        <f t="shared" si="154"/>
        <v>654.88536491780269</v>
      </c>
      <c r="X139" s="14">
        <f t="shared" si="154"/>
        <v>663.82234934982728</v>
      </c>
      <c r="Y139" s="14">
        <f t="shared" si="154"/>
        <v>683.29175332648356</v>
      </c>
      <c r="Z139" s="14">
        <f t="shared" si="154"/>
        <v>783.35774791814561</v>
      </c>
      <c r="AA139" s="13">
        <f t="shared" si="154"/>
        <v>945.69015574355421</v>
      </c>
      <c r="AB139" s="13">
        <f t="shared" si="154"/>
        <v>905.08790979580306</v>
      </c>
      <c r="AC139" s="13">
        <f t="shared" si="154"/>
        <v>869.66456553105411</v>
      </c>
      <c r="AD139" s="13">
        <f t="shared" si="154"/>
        <v>812.73333556605451</v>
      </c>
      <c r="AE139" s="13">
        <f t="shared" si="154"/>
        <v>906.45927342360289</v>
      </c>
      <c r="AF139" s="13">
        <f t="shared" si="154"/>
        <v>908.68008269712084</v>
      </c>
      <c r="AG139" s="13">
        <f t="shared" si="154"/>
        <v>956.22588138183778</v>
      </c>
      <c r="AH139" s="13">
        <f t="shared" si="154"/>
        <v>1098.4920687840604</v>
      </c>
      <c r="AI139" s="13">
        <f t="shared" si="154"/>
        <v>1107.5109096903454</v>
      </c>
      <c r="AJ139" s="13">
        <f t="shared" si="154"/>
        <v>1198.5433440440875</v>
      </c>
      <c r="AK139" s="13">
        <f t="shared" si="154"/>
        <v>1215.5407280031357</v>
      </c>
      <c r="AL139" s="13">
        <f t="shared" si="154"/>
        <v>1355.2757303194662</v>
      </c>
      <c r="AM139" s="13">
        <f t="shared" si="154"/>
        <v>1392.8640024572537</v>
      </c>
      <c r="AN139" s="13">
        <f t="shared" si="154"/>
        <v>1520.2980596845105</v>
      </c>
      <c r="AO139" s="13">
        <f t="shared" si="154"/>
        <v>1766.9124272957831</v>
      </c>
      <c r="AP139" s="13">
        <f t="shared" si="154"/>
        <v>1685.5279061516585</v>
      </c>
      <c r="AQ139" s="13">
        <f t="shared" si="154"/>
        <v>1677.9524769084071</v>
      </c>
      <c r="AR139" s="13">
        <f t="shared" si="154"/>
        <v>1631.93181761091</v>
      </c>
      <c r="AS139" s="13">
        <f t="shared" si="154"/>
        <v>1646.3972580076256</v>
      </c>
      <c r="AT139" s="13">
        <f t="shared" si="154"/>
        <v>1714.5834530381674</v>
      </c>
      <c r="AU139" s="13">
        <f t="shared" si="154"/>
        <v>1648.1780890292928</v>
      </c>
      <c r="AV139" s="13">
        <f t="shared" si="154"/>
        <v>1435.525970664549</v>
      </c>
      <c r="AW139" s="13">
        <f t="shared" si="154"/>
        <v>1327.7852094908251</v>
      </c>
      <c r="AX139" s="13">
        <f t="shared" si="154"/>
        <v>1277.6169192617608</v>
      </c>
      <c r="AY139" s="63">
        <f t="shared" si="154"/>
        <v>1304.4340278559862</v>
      </c>
      <c r="AZ139" s="64">
        <f t="shared" si="154"/>
        <v>1289.3207922462477</v>
      </c>
      <c r="BA139" s="64">
        <f t="shared" ref="BA139:BB139" si="155">+BA138/(32.15074)/(BA148)</f>
        <v>1281.1026653719669</v>
      </c>
      <c r="BB139" s="65">
        <f t="shared" si="155"/>
        <v>1204.919115392687</v>
      </c>
      <c r="BC139" s="112">
        <f t="shared" ref="BC139:BD139" si="156">+BC138/(32.15074)/(BC148)</f>
        <v>1224.9396452269129</v>
      </c>
      <c r="BD139" s="113">
        <f t="shared" si="156"/>
        <v>1192.3882635355146</v>
      </c>
      <c r="BE139" s="113">
        <f t="shared" ref="BE139:BF139" si="157">+BE138/(32.15074)/(BE148)</f>
        <v>1128.9493358667776</v>
      </c>
      <c r="BF139" s="114">
        <f t="shared" si="157"/>
        <v>1105.8506895610083</v>
      </c>
    </row>
    <row r="140" spans="2:74" x14ac:dyDescent="0.25">
      <c r="B140" t="s">
        <v>82</v>
      </c>
      <c r="C140" s="14">
        <v>54025</v>
      </c>
      <c r="D140" s="14">
        <v>55730</v>
      </c>
      <c r="E140" s="14">
        <v>66338</v>
      </c>
      <c r="F140" s="14">
        <v>66403</v>
      </c>
      <c r="G140" s="14">
        <v>66405</v>
      </c>
      <c r="H140" s="14">
        <v>68401</v>
      </c>
      <c r="I140" s="14">
        <v>78509</v>
      </c>
      <c r="J140" s="14">
        <v>77005</v>
      </c>
      <c r="K140" s="14">
        <v>78143</v>
      </c>
      <c r="L140" s="14">
        <v>81978</v>
      </c>
      <c r="M140" s="14">
        <v>83912</v>
      </c>
      <c r="N140" s="14">
        <v>81351</v>
      </c>
      <c r="O140" s="14">
        <v>81064</v>
      </c>
      <c r="P140" s="14">
        <v>78010</v>
      </c>
      <c r="Q140" s="14">
        <v>87152</v>
      </c>
      <c r="R140" s="14">
        <v>81984</v>
      </c>
      <c r="S140" s="14">
        <v>82147</v>
      </c>
      <c r="T140" s="14">
        <v>85481</v>
      </c>
      <c r="U140" s="14">
        <v>77330</v>
      </c>
      <c r="V140" s="14">
        <v>80237</v>
      </c>
      <c r="W140" s="14">
        <v>99434</v>
      </c>
      <c r="X140" s="14">
        <v>95805</v>
      </c>
      <c r="Y140" s="14">
        <v>106393</v>
      </c>
      <c r="Z140" s="14">
        <v>108031</v>
      </c>
      <c r="AA140" s="13">
        <v>160071</v>
      </c>
      <c r="AB140" s="13">
        <v>119467</v>
      </c>
      <c r="AC140" s="13">
        <v>150982</v>
      </c>
      <c r="AD140" s="13">
        <v>144759</v>
      </c>
      <c r="AE140" s="13">
        <v>193532</v>
      </c>
      <c r="AF140" s="13">
        <v>157862</v>
      </c>
      <c r="AG140" s="13">
        <v>165900</v>
      </c>
      <c r="AH140" s="13">
        <v>167722</v>
      </c>
      <c r="AI140" s="13">
        <v>206092</v>
      </c>
      <c r="AJ140" s="13">
        <v>189216</v>
      </c>
      <c r="AK140" s="13">
        <v>191599</v>
      </c>
      <c r="AL140" s="13">
        <v>192630</v>
      </c>
      <c r="AM140" s="13">
        <v>232411</v>
      </c>
      <c r="AN140" s="13">
        <v>203871</v>
      </c>
      <c r="AO140" s="13">
        <v>236002</v>
      </c>
      <c r="AP140" s="13">
        <v>220222</v>
      </c>
      <c r="AQ140" s="13">
        <v>260114</v>
      </c>
      <c r="AR140" s="13">
        <v>273436</v>
      </c>
      <c r="AS140" s="13">
        <v>297019</v>
      </c>
      <c r="AT140" s="13">
        <v>373632</v>
      </c>
      <c r="AU140" s="13">
        <v>371836</v>
      </c>
      <c r="AV140" s="13">
        <v>314267</v>
      </c>
      <c r="AW140" s="13">
        <v>287238</v>
      </c>
      <c r="AX140" s="13">
        <v>276232</v>
      </c>
      <c r="AY140" s="63">
        <v>329819</v>
      </c>
      <c r="AZ140" s="64">
        <v>320945</v>
      </c>
      <c r="BA140" s="64">
        <v>318407</v>
      </c>
      <c r="BB140" s="65">
        <v>289926</v>
      </c>
      <c r="BC140" s="112">
        <v>419444</v>
      </c>
      <c r="BD140" s="113">
        <v>318067</v>
      </c>
      <c r="BE140" s="113">
        <v>325615</v>
      </c>
      <c r="BF140" s="114">
        <v>327339</v>
      </c>
    </row>
    <row r="141" spans="2:74" x14ac:dyDescent="0.25">
      <c r="B141" t="s">
        <v>83</v>
      </c>
      <c r="C141" s="14">
        <f>+C140/(32.15074)/(C148)</f>
        <v>145.73856699312688</v>
      </c>
      <c r="D141" s="14">
        <f t="shared" ref="D141:AW141" si="158">+D140/(32.15074)/(D148)</f>
        <v>164.92836500565707</v>
      </c>
      <c r="E141" s="14">
        <f t="shared" si="158"/>
        <v>198.78062288190148</v>
      </c>
      <c r="F141" s="14">
        <f t="shared" si="158"/>
        <v>211.39862762734811</v>
      </c>
      <c r="G141" s="14">
        <f t="shared" si="158"/>
        <v>246.47097838729113</v>
      </c>
      <c r="H141" s="14">
        <f t="shared" si="158"/>
        <v>274.87200920700394</v>
      </c>
      <c r="I141" s="14">
        <f t="shared" si="158"/>
        <v>328.21281706848919</v>
      </c>
      <c r="J141" s="14">
        <f t="shared" si="158"/>
        <v>354.30824265161897</v>
      </c>
      <c r="K141" s="14">
        <f t="shared" si="158"/>
        <v>357.95574140720953</v>
      </c>
      <c r="L141" s="14">
        <f t="shared" si="158"/>
        <v>386.33353667471079</v>
      </c>
      <c r="M141" s="14">
        <f t="shared" si="158"/>
        <v>410.37035825066232</v>
      </c>
      <c r="N141" s="14">
        <f t="shared" si="158"/>
        <v>413.44762387501902</v>
      </c>
      <c r="O141" s="14">
        <f t="shared" si="158"/>
        <v>423.7601274705425</v>
      </c>
      <c r="P141" s="14">
        <f t="shared" si="158"/>
        <v>379.71560577392523</v>
      </c>
      <c r="Q141" s="14">
        <f t="shared" si="158"/>
        <v>415.75625213118497</v>
      </c>
      <c r="R141" s="14">
        <f t="shared" si="158"/>
        <v>390.50351653170276</v>
      </c>
      <c r="S141" s="14">
        <f t="shared" si="158"/>
        <v>416.13319718342507</v>
      </c>
      <c r="T141" s="14">
        <f t="shared" si="158"/>
        <v>416.08088318370596</v>
      </c>
      <c r="U141" s="14">
        <f t="shared" si="158"/>
        <v>338.76512004932545</v>
      </c>
      <c r="V141" s="14">
        <f t="shared" si="158"/>
        <v>338.16398074265857</v>
      </c>
      <c r="W141" s="14">
        <f t="shared" si="158"/>
        <v>428.95197558958608</v>
      </c>
      <c r="X141" s="14">
        <f t="shared" si="158"/>
        <v>420.29184818513937</v>
      </c>
      <c r="Y141" s="14">
        <f t="shared" si="158"/>
        <v>466.08350468651076</v>
      </c>
      <c r="Z141" s="14">
        <f t="shared" si="158"/>
        <v>497.06218767478805</v>
      </c>
      <c r="AA141" s="13">
        <f t="shared" si="158"/>
        <v>668.29069155037723</v>
      </c>
      <c r="AB141" s="13">
        <f t="shared" si="158"/>
        <v>478.22906332539395</v>
      </c>
      <c r="AC141" s="13">
        <f t="shared" si="158"/>
        <v>606.72688548547342</v>
      </c>
      <c r="AD141" s="13">
        <f t="shared" si="158"/>
        <v>458.50398350163812</v>
      </c>
      <c r="AE141" s="13">
        <f t="shared" si="158"/>
        <v>606.19529726974235</v>
      </c>
      <c r="AF141" s="13">
        <f t="shared" si="158"/>
        <v>573.60491328991316</v>
      </c>
      <c r="AG141" s="13">
        <f t="shared" si="158"/>
        <v>659.85522447044116</v>
      </c>
      <c r="AH141" s="13">
        <f t="shared" si="158"/>
        <v>696.49377859367814</v>
      </c>
      <c r="AI141" s="13">
        <f t="shared" si="158"/>
        <v>854.69054004148381</v>
      </c>
      <c r="AJ141" s="13">
        <f t="shared" si="158"/>
        <v>783.65867757563376</v>
      </c>
      <c r="AK141" s="13">
        <f t="shared" si="158"/>
        <v>809.70058002045857</v>
      </c>
      <c r="AL141" s="13">
        <f t="shared" si="158"/>
        <v>865.81849134147899</v>
      </c>
      <c r="AM141" s="13">
        <f t="shared" si="158"/>
        <v>1035.6434990628572</v>
      </c>
      <c r="AN141" s="13">
        <f t="shared" si="158"/>
        <v>935.26522333696437</v>
      </c>
      <c r="AO141" s="13">
        <f t="shared" si="158"/>
        <v>1041.2034370875383</v>
      </c>
      <c r="AP141" s="13">
        <f t="shared" si="158"/>
        <v>847.73159248595778</v>
      </c>
      <c r="AQ141" s="13">
        <f t="shared" si="158"/>
        <v>1041.2421386476728</v>
      </c>
      <c r="AR141" s="13">
        <f t="shared" si="158"/>
        <v>1055.1875955184687</v>
      </c>
      <c r="AS141" s="13">
        <f t="shared" si="158"/>
        <v>1118.4413393602074</v>
      </c>
      <c r="AT141" s="13">
        <f t="shared" si="158"/>
        <v>1340.398687202264</v>
      </c>
      <c r="AU141" s="13">
        <f t="shared" si="158"/>
        <v>1300.9442927219179</v>
      </c>
      <c r="AV141" s="13">
        <f t="shared" si="158"/>
        <v>1038.7670925150869</v>
      </c>
      <c r="AW141" s="13">
        <f t="shared" si="158"/>
        <v>895.20063069935247</v>
      </c>
      <c r="AX141" s="13">
        <f>+AX140/(32.15074)/(AX148)+1</f>
        <v>850.82961016610295</v>
      </c>
      <c r="AY141" s="63">
        <f>+AY140/(32.15074)/(AY148)</f>
        <v>948.10718212461279</v>
      </c>
      <c r="AZ141" s="64">
        <f t="shared" ref="AZ141:BA141" si="159">+AZ140/(32.15074)/(AZ148)</f>
        <v>948.00640086171109</v>
      </c>
      <c r="BA141" s="64">
        <f t="shared" si="159"/>
        <v>923.8401829129923</v>
      </c>
      <c r="BB141" s="65">
        <f t="shared" ref="BB141:BC141" si="160">+BB140/(32.15074)/(BB148)</f>
        <v>805.15254081243552</v>
      </c>
      <c r="BC141" s="112">
        <f t="shared" si="160"/>
        <v>1115.0572126773609</v>
      </c>
      <c r="BD141" s="113">
        <f>+BD140/(32.15074)/(BD148)-1</f>
        <v>818.63476193493716</v>
      </c>
      <c r="BE141" s="113">
        <f>+BE140/(32.15074)/(BE148)</f>
        <v>779.05851287739233</v>
      </c>
      <c r="BF141" s="114">
        <f>+BF140/(32.15074)/(BF148)</f>
        <v>716.49423450842664</v>
      </c>
    </row>
    <row r="142" spans="2:74" x14ac:dyDescent="0.25">
      <c r="B142" t="s">
        <v>84</v>
      </c>
      <c r="C142" s="14">
        <f t="shared" ref="C142:AU142" si="161">+((-C129+C125)*1000000)/(C116)</f>
        <v>66898.104710076936</v>
      </c>
      <c r="D142" s="14">
        <f t="shared" si="161"/>
        <v>71500.559910414333</v>
      </c>
      <c r="E142" s="14">
        <f t="shared" si="161"/>
        <v>85846.153846153844</v>
      </c>
      <c r="F142" s="14">
        <f t="shared" si="161"/>
        <v>90150.019739439405</v>
      </c>
      <c r="G142" s="14">
        <f t="shared" si="161"/>
        <v>84437.21286370598</v>
      </c>
      <c r="H142" s="14">
        <f t="shared" si="161"/>
        <v>93349.614878827735</v>
      </c>
      <c r="I142" s="14">
        <f t="shared" si="161"/>
        <v>96445.162593415473</v>
      </c>
      <c r="J142" s="14">
        <f t="shared" si="161"/>
        <v>96660.667866426724</v>
      </c>
      <c r="K142" s="14">
        <f t="shared" si="161"/>
        <v>94847.288593392892</v>
      </c>
      <c r="L142" s="14">
        <f t="shared" si="161"/>
        <v>99272.260273972599</v>
      </c>
      <c r="M142" s="14">
        <f t="shared" si="161"/>
        <v>99485.861182519293</v>
      </c>
      <c r="N142" s="14">
        <f t="shared" si="161"/>
        <v>96123.24015507038</v>
      </c>
      <c r="O142" s="14">
        <f t="shared" si="161"/>
        <v>95161.290322580651</v>
      </c>
      <c r="P142" s="14">
        <f t="shared" si="161"/>
        <v>91093.596059113304</v>
      </c>
      <c r="Q142" s="14">
        <f t="shared" si="161"/>
        <v>100858.07050092764</v>
      </c>
      <c r="R142" s="14">
        <f t="shared" si="161"/>
        <v>96284.765462847659</v>
      </c>
      <c r="S142" s="14">
        <f t="shared" si="161"/>
        <v>98193.896616151134</v>
      </c>
      <c r="T142" s="14">
        <f t="shared" si="161"/>
        <v>104549.4122768829</v>
      </c>
      <c r="U142" s="14">
        <f t="shared" si="161"/>
        <v>104357.2044866264</v>
      </c>
      <c r="V142" s="14">
        <f t="shared" si="161"/>
        <v>117892.47311827957</v>
      </c>
      <c r="W142" s="14">
        <f t="shared" si="161"/>
        <v>138052.85868392664</v>
      </c>
      <c r="X142" s="14">
        <f t="shared" si="161"/>
        <v>153389.61371194679</v>
      </c>
      <c r="Y142" s="14">
        <f t="shared" si="161"/>
        <v>148179.12058268141</v>
      </c>
      <c r="Z142" s="14">
        <f t="shared" si="161"/>
        <v>151946.99837750135</v>
      </c>
      <c r="AA142" s="13">
        <f t="shared" si="161"/>
        <v>227852.08497246262</v>
      </c>
      <c r="AB142" s="13">
        <f t="shared" si="161"/>
        <v>166095.7041870582</v>
      </c>
      <c r="AC142" s="13">
        <f t="shared" si="161"/>
        <v>206622.30671736374</v>
      </c>
      <c r="AD142" s="13">
        <f t="shared" si="161"/>
        <v>195722.89156626505</v>
      </c>
      <c r="AE142" s="13">
        <f t="shared" si="161"/>
        <v>259622.33828846927</v>
      </c>
      <c r="AF142" s="13">
        <f t="shared" si="161"/>
        <v>224726.47702407005</v>
      </c>
      <c r="AG142" s="13">
        <f t="shared" si="161"/>
        <v>215594.99563572885</v>
      </c>
      <c r="AH142" s="13">
        <f t="shared" si="161"/>
        <v>220765.52139843279</v>
      </c>
      <c r="AI142" s="13">
        <f t="shared" si="161"/>
        <v>274466.43383779592</v>
      </c>
      <c r="AJ142" s="13">
        <f t="shared" si="161"/>
        <v>260049.01960784313</v>
      </c>
      <c r="AK142" s="13">
        <f t="shared" si="161"/>
        <v>241036.85196752034</v>
      </c>
      <c r="AL142" s="13">
        <f t="shared" si="161"/>
        <v>248798.70129870129</v>
      </c>
      <c r="AM142" s="13">
        <f t="shared" si="161"/>
        <v>300172.86084701808</v>
      </c>
      <c r="AN142" s="13">
        <f t="shared" si="161"/>
        <v>255118.11023622047</v>
      </c>
      <c r="AO142" s="13">
        <f t="shared" si="161"/>
        <v>300227.6176024279</v>
      </c>
      <c r="AP142" s="13">
        <f t="shared" si="161"/>
        <v>271172.46324847615</v>
      </c>
      <c r="AQ142" s="13">
        <f t="shared" si="161"/>
        <v>308570.268074736</v>
      </c>
      <c r="AR142" s="13">
        <f t="shared" si="161"/>
        <v>347678.64352038759</v>
      </c>
      <c r="AS142" s="13">
        <f t="shared" si="161"/>
        <v>368654.24430641823</v>
      </c>
      <c r="AT142" s="13">
        <f t="shared" si="161"/>
        <v>481684.08113091579</v>
      </c>
      <c r="AU142" s="13">
        <f t="shared" si="161"/>
        <v>458427.57135164243</v>
      </c>
      <c r="AV142" s="13">
        <f>+((-AV129+AV125)*1000000)/(AV116)</f>
        <v>388898.52558542934</v>
      </c>
      <c r="AW142" s="13">
        <f>+((-AW129+AW125)*1000000)/(AW116)</f>
        <v>321809.48878264066</v>
      </c>
      <c r="AX142" s="13">
        <f>+((-AX129+AX125)*1000000)/(AX116)</f>
        <v>323133.80281690136</v>
      </c>
      <c r="AY142" s="75" t="s">
        <v>85</v>
      </c>
      <c r="AZ142" s="76" t="s">
        <v>85</v>
      </c>
      <c r="BA142" s="76" t="s">
        <v>85</v>
      </c>
      <c r="BB142" s="77" t="s">
        <v>85</v>
      </c>
      <c r="BC142" s="122" t="s">
        <v>85</v>
      </c>
      <c r="BD142" s="123" t="s">
        <v>85</v>
      </c>
      <c r="BE142" s="123" t="s">
        <v>85</v>
      </c>
      <c r="BF142" s="124" t="s">
        <v>85</v>
      </c>
    </row>
    <row r="143" spans="2:74" x14ac:dyDescent="0.25">
      <c r="B143" t="s">
        <v>86</v>
      </c>
      <c r="C143" s="14">
        <f>+C142/(32.15074)/(C148)</f>
        <v>180.46522748732556</v>
      </c>
      <c r="D143" s="14">
        <f t="shared" ref="D143:AX143" si="162">+D142/(32.15074)/(D148)</f>
        <v>211.60004383659907</v>
      </c>
      <c r="E143" s="14">
        <f t="shared" si="162"/>
        <v>257.23645472510481</v>
      </c>
      <c r="F143" s="14">
        <f t="shared" si="162"/>
        <v>286.99893760064799</v>
      </c>
      <c r="G143" s="14">
        <f t="shared" si="162"/>
        <v>313.39993173426063</v>
      </c>
      <c r="H143" s="14">
        <f t="shared" si="162"/>
        <v>375.12896303333883</v>
      </c>
      <c r="I143" s="14">
        <f t="shared" si="162"/>
        <v>403.19630242919118</v>
      </c>
      <c r="J143" s="14">
        <f t="shared" si="162"/>
        <v>444.74607318077364</v>
      </c>
      <c r="K143" s="14">
        <f t="shared" si="162"/>
        <v>434.47438041681943</v>
      </c>
      <c r="L143" s="14">
        <f t="shared" si="162"/>
        <v>467.83531441772465</v>
      </c>
      <c r="M143" s="14">
        <f t="shared" si="162"/>
        <v>486.53408921663294</v>
      </c>
      <c r="N143" s="14">
        <f t="shared" si="162"/>
        <v>488.52411453186397</v>
      </c>
      <c r="O143" s="14">
        <f t="shared" si="162"/>
        <v>497.45337655874465</v>
      </c>
      <c r="P143" s="14">
        <f t="shared" si="162"/>
        <v>443.40033341509371</v>
      </c>
      <c r="Q143" s="14">
        <f t="shared" si="162"/>
        <v>481.14068969901439</v>
      </c>
      <c r="R143" s="14">
        <f t="shared" si="162"/>
        <v>458.62045645092036</v>
      </c>
      <c r="S143" s="14">
        <f t="shared" si="162"/>
        <v>497.42218392366942</v>
      </c>
      <c r="T143" s="14">
        <f t="shared" si="162"/>
        <v>508.89685189109662</v>
      </c>
      <c r="U143" s="14">
        <f t="shared" si="162"/>
        <v>457.16514814333374</v>
      </c>
      <c r="V143" s="14">
        <f t="shared" si="162"/>
        <v>496.86538640869281</v>
      </c>
      <c r="W143" s="14">
        <f t="shared" si="162"/>
        <v>595.55128495545057</v>
      </c>
      <c r="X143" s="14">
        <f t="shared" si="162"/>
        <v>672.9127314795544</v>
      </c>
      <c r="Y143" s="14">
        <f t="shared" si="162"/>
        <v>649.13898322766761</v>
      </c>
      <c r="Z143" s="14">
        <f t="shared" si="162"/>
        <v>699.12439414740493</v>
      </c>
      <c r="AA143" s="13">
        <f t="shared" si="162"/>
        <v>951.27429351626688</v>
      </c>
      <c r="AB143" s="13">
        <f t="shared" si="162"/>
        <v>664.88480530814832</v>
      </c>
      <c r="AC143" s="13">
        <f t="shared" si="162"/>
        <v>830.31956542137686</v>
      </c>
      <c r="AD143" s="13">
        <f t="shared" si="162"/>
        <v>619.92501637612656</v>
      </c>
      <c r="AE143" s="13">
        <f t="shared" si="162"/>
        <v>813.20836108056676</v>
      </c>
      <c r="AF143" s="13">
        <f t="shared" si="162"/>
        <v>816.56263931370017</v>
      </c>
      <c r="AG143" s="13">
        <f t="shared" si="162"/>
        <v>857.51346738949758</v>
      </c>
      <c r="AH143" s="13">
        <f t="shared" si="162"/>
        <v>916.76591134137414</v>
      </c>
      <c r="AI143" s="13">
        <f t="shared" si="162"/>
        <v>1138.2482801859653</v>
      </c>
      <c r="AJ143" s="13">
        <f t="shared" si="162"/>
        <v>1077.0213449746448</v>
      </c>
      <c r="AK143" s="13">
        <f t="shared" si="162"/>
        <v>1018.6257696773292</v>
      </c>
      <c r="AL143" s="13">
        <f t="shared" si="162"/>
        <v>1118.2812449055743</v>
      </c>
      <c r="AM143" s="13">
        <f t="shared" si="162"/>
        <v>1337.596206424455</v>
      </c>
      <c r="AN143" s="13">
        <f t="shared" si="162"/>
        <v>1170.3631038616725</v>
      </c>
      <c r="AO143" s="13">
        <f t="shared" si="162"/>
        <v>1324.5566874698141</v>
      </c>
      <c r="AP143" s="13">
        <f t="shared" si="162"/>
        <v>1043.862393893301</v>
      </c>
      <c r="AQ143" s="13">
        <f t="shared" si="162"/>
        <v>1235.213659600113</v>
      </c>
      <c r="AR143" s="13">
        <f t="shared" si="162"/>
        <v>1341.6894332472705</v>
      </c>
      <c r="AS143" s="13">
        <f t="shared" si="162"/>
        <v>1388.1877818014857</v>
      </c>
      <c r="AT143" s="13">
        <f t="shared" si="162"/>
        <v>1728.0337604758381</v>
      </c>
      <c r="AU143" s="13">
        <f t="shared" si="162"/>
        <v>1603.9026145297632</v>
      </c>
      <c r="AV143" s="13">
        <f t="shared" si="162"/>
        <v>1285.4515132221345</v>
      </c>
      <c r="AW143" s="13">
        <f t="shared" si="162"/>
        <v>1002.9454923208493</v>
      </c>
      <c r="AX143" s="13">
        <f t="shared" si="162"/>
        <v>994.12332271198727</v>
      </c>
      <c r="AY143" s="75" t="s">
        <v>85</v>
      </c>
      <c r="AZ143" s="76" t="s">
        <v>85</v>
      </c>
      <c r="BA143" s="76" t="s">
        <v>85</v>
      </c>
      <c r="BB143" s="77" t="s">
        <v>85</v>
      </c>
      <c r="BC143" s="122" t="s">
        <v>85</v>
      </c>
      <c r="BD143" s="123" t="s">
        <v>85</v>
      </c>
      <c r="BE143" s="123" t="s">
        <v>85</v>
      </c>
      <c r="BF143" s="124" t="s">
        <v>85</v>
      </c>
    </row>
    <row r="144" spans="2:74" x14ac:dyDescent="0.25">
      <c r="B144" t="s">
        <v>87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103">
        <v>286651</v>
      </c>
      <c r="AN144" s="103"/>
      <c r="AO144" s="103"/>
      <c r="AP144" s="103"/>
      <c r="AQ144" s="103">
        <v>342539</v>
      </c>
      <c r="AR144" s="103"/>
      <c r="AS144" s="103">
        <v>426348</v>
      </c>
      <c r="AT144" s="103"/>
      <c r="AU144" s="13">
        <v>469144</v>
      </c>
      <c r="AV144" s="13">
        <v>396271</v>
      </c>
      <c r="AW144" s="13">
        <v>337624</v>
      </c>
      <c r="AX144" s="13">
        <v>339507</v>
      </c>
      <c r="AY144" s="63">
        <v>382876</v>
      </c>
      <c r="AZ144" s="64">
        <v>385354</v>
      </c>
      <c r="BA144" s="64">
        <v>379878</v>
      </c>
      <c r="BB144" s="65">
        <v>362221</v>
      </c>
      <c r="BC144" s="112">
        <v>501500</v>
      </c>
      <c r="BD144" s="113">
        <v>386486</v>
      </c>
      <c r="BE144" s="113">
        <v>384364</v>
      </c>
      <c r="BF144" s="114">
        <v>393981</v>
      </c>
    </row>
    <row r="145" spans="2:58" x14ac:dyDescent="0.25">
      <c r="B145" t="s">
        <v>88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103">
        <v>1235</v>
      </c>
      <c r="AN145" s="103"/>
      <c r="AO145" s="103"/>
      <c r="AP145" s="103"/>
      <c r="AQ145" s="103">
        <v>1345</v>
      </c>
      <c r="AR145" s="103"/>
      <c r="AS145" s="103">
        <v>1566</v>
      </c>
      <c r="AT145" s="103"/>
      <c r="AU145" s="13">
        <f t="shared" ref="AU145:AZ145" si="163">+AU144/(32.15074)/(AU148)</f>
        <v>1641.3962318461136</v>
      </c>
      <c r="AV145" s="13">
        <f t="shared" si="163"/>
        <v>1309.820230943898</v>
      </c>
      <c r="AW145" s="13">
        <f t="shared" si="163"/>
        <v>1052.2327050711892</v>
      </c>
      <c r="AX145" s="13">
        <f t="shared" si="163"/>
        <v>1044.4955742226211</v>
      </c>
      <c r="AY145" s="63">
        <f t="shared" si="163"/>
        <v>1100.6263601040064</v>
      </c>
      <c r="AZ145" s="64">
        <f t="shared" si="163"/>
        <v>1138.2575163896113</v>
      </c>
      <c r="BA145" s="64">
        <f t="shared" ref="BA145:BB145" si="164">+BA144/(32.15074)/(BA148)</f>
        <v>1102.1948669615358</v>
      </c>
      <c r="BB145" s="65">
        <f t="shared" si="164"/>
        <v>1005.9227474790849</v>
      </c>
      <c r="BC145" s="112">
        <f t="shared" ref="BC145:BD145" si="165">+BC144/(32.15074)/(BC148)</f>
        <v>1333.1963078687418</v>
      </c>
      <c r="BD145" s="113">
        <f t="shared" si="165"/>
        <v>995.94538446675119</v>
      </c>
      <c r="BE145" s="113">
        <f t="shared" ref="BE145:BF145" si="166">+BE144/(32.15074)/(BE148)</f>
        <v>919.61993840457603</v>
      </c>
      <c r="BF145" s="114">
        <f t="shared" si="166"/>
        <v>862.36322285417998</v>
      </c>
    </row>
    <row r="146" spans="2:58" x14ac:dyDescent="0.25">
      <c r="B146" t="s">
        <v>89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103">
        <f>+AM144</f>
        <v>286651</v>
      </c>
      <c r="AN146" s="103"/>
      <c r="AO146" s="103"/>
      <c r="AP146" s="103"/>
      <c r="AQ146" s="103">
        <f>+AQ144</f>
        <v>342539</v>
      </c>
      <c r="AR146" s="103"/>
      <c r="AS146" s="103">
        <f>+AS144</f>
        <v>426348</v>
      </c>
      <c r="AT146" s="103"/>
      <c r="AU146" s="13">
        <f t="shared" ref="AU146:AY146" si="167">+AU144</f>
        <v>469144</v>
      </c>
      <c r="AV146" s="13">
        <f t="shared" si="167"/>
        <v>396271</v>
      </c>
      <c r="AW146" s="13">
        <f t="shared" si="167"/>
        <v>337624</v>
      </c>
      <c r="AX146" s="13">
        <f t="shared" si="167"/>
        <v>339507</v>
      </c>
      <c r="AY146" s="63">
        <f t="shared" si="167"/>
        <v>382876</v>
      </c>
      <c r="AZ146" s="64">
        <v>385354</v>
      </c>
      <c r="BA146" s="64">
        <f>+BA144</f>
        <v>379878</v>
      </c>
      <c r="BB146" s="65">
        <v>365555</v>
      </c>
      <c r="BC146" s="112">
        <v>501500</v>
      </c>
      <c r="BD146" s="113">
        <v>386486</v>
      </c>
      <c r="BE146" s="113">
        <v>384364</v>
      </c>
      <c r="BF146" s="114">
        <v>393981</v>
      </c>
    </row>
    <row r="147" spans="2:58" x14ac:dyDescent="0.25">
      <c r="B147" t="s">
        <v>90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103">
        <f>+AM145</f>
        <v>1235</v>
      </c>
      <c r="AN147" s="103"/>
      <c r="AO147" s="103"/>
      <c r="AP147" s="103"/>
      <c r="AQ147" s="103">
        <f>+AQ145</f>
        <v>1345</v>
      </c>
      <c r="AR147" s="103"/>
      <c r="AS147" s="103">
        <f>+AS145</f>
        <v>1566</v>
      </c>
      <c r="AT147" s="103"/>
      <c r="AU147" s="13">
        <f t="shared" ref="AU147:AZ147" si="168">+AU146/(32.15074)/(AU148)</f>
        <v>1641.3962318461136</v>
      </c>
      <c r="AV147" s="13">
        <f t="shared" si="168"/>
        <v>1309.820230943898</v>
      </c>
      <c r="AW147" s="13">
        <f t="shared" si="168"/>
        <v>1052.2327050711892</v>
      </c>
      <c r="AX147" s="13">
        <f t="shared" si="168"/>
        <v>1044.4955742226211</v>
      </c>
      <c r="AY147" s="63">
        <f t="shared" si="168"/>
        <v>1100.6263601040064</v>
      </c>
      <c r="AZ147" s="64">
        <f t="shared" si="168"/>
        <v>1138.2575163896113</v>
      </c>
      <c r="BA147" s="64">
        <f t="shared" ref="BA147:BB147" si="169">+BA146/(32.15074)/(BA148)</f>
        <v>1102.1948669615358</v>
      </c>
      <c r="BB147" s="65">
        <f t="shared" si="169"/>
        <v>1015.1815879110183</v>
      </c>
      <c r="BC147" s="112">
        <f t="shared" ref="BC147:BD147" si="170">+BC146/(32.15074)/(BC148)</f>
        <v>1333.1963078687418</v>
      </c>
      <c r="BD147" s="113">
        <f t="shared" si="170"/>
        <v>995.94538446675119</v>
      </c>
      <c r="BE147" s="113">
        <f t="shared" ref="BE147:BF147" si="171">+BE146/(32.15074)/(BE148)</f>
        <v>919.61993840457603</v>
      </c>
      <c r="BF147" s="114">
        <f t="shared" si="171"/>
        <v>862.36322285417998</v>
      </c>
    </row>
    <row r="148" spans="2:58" x14ac:dyDescent="0.25">
      <c r="B148" s="35" t="s">
        <v>91</v>
      </c>
      <c r="C148" s="36">
        <f>+C97</f>
        <v>11.53</v>
      </c>
      <c r="D148" s="36">
        <f t="shared" ref="D148:AZ148" si="172">+D97</f>
        <v>10.51</v>
      </c>
      <c r="E148" s="36">
        <f t="shared" si="172"/>
        <v>10.38</v>
      </c>
      <c r="F148" s="36">
        <f t="shared" si="172"/>
        <v>9.77</v>
      </c>
      <c r="G148" s="36">
        <f t="shared" si="172"/>
        <v>8.3800000000000008</v>
      </c>
      <c r="H148" s="36">
        <f t="shared" si="172"/>
        <v>7.74</v>
      </c>
      <c r="I148" s="36">
        <f t="shared" si="172"/>
        <v>7.44</v>
      </c>
      <c r="J148" s="36">
        <f t="shared" si="172"/>
        <v>6.76</v>
      </c>
      <c r="K148" s="36">
        <f t="shared" si="172"/>
        <v>6.79</v>
      </c>
      <c r="L148" s="36">
        <f t="shared" si="172"/>
        <v>6.6</v>
      </c>
      <c r="M148" s="36">
        <f t="shared" si="172"/>
        <v>6.36</v>
      </c>
      <c r="N148" s="36">
        <f t="shared" si="172"/>
        <v>6.12</v>
      </c>
      <c r="O148" s="36">
        <f t="shared" si="172"/>
        <v>5.95</v>
      </c>
      <c r="P148" s="36">
        <f t="shared" si="172"/>
        <v>6.39</v>
      </c>
      <c r="Q148" s="36">
        <f t="shared" si="172"/>
        <v>6.52</v>
      </c>
      <c r="R148" s="36">
        <f t="shared" si="172"/>
        <v>6.53</v>
      </c>
      <c r="S148" s="36">
        <f t="shared" si="172"/>
        <v>6.14</v>
      </c>
      <c r="T148" s="36">
        <f t="shared" si="172"/>
        <v>6.39</v>
      </c>
      <c r="U148" s="36">
        <f t="shared" si="172"/>
        <v>7.1</v>
      </c>
      <c r="V148" s="36">
        <f t="shared" si="172"/>
        <v>7.38</v>
      </c>
      <c r="W148" s="36">
        <f t="shared" si="172"/>
        <v>7.21</v>
      </c>
      <c r="X148" s="36">
        <f t="shared" si="172"/>
        <v>7.09</v>
      </c>
      <c r="Y148" s="36">
        <f t="shared" si="172"/>
        <v>7.1</v>
      </c>
      <c r="Z148" s="36">
        <f t="shared" si="172"/>
        <v>6.76</v>
      </c>
      <c r="AA148" s="37">
        <f t="shared" si="172"/>
        <v>7.45</v>
      </c>
      <c r="AB148" s="37">
        <f t="shared" si="172"/>
        <v>7.77</v>
      </c>
      <c r="AC148" s="37">
        <f t="shared" si="172"/>
        <v>7.74</v>
      </c>
      <c r="AD148" s="37">
        <f t="shared" si="172"/>
        <v>9.82</v>
      </c>
      <c r="AE148" s="37">
        <f t="shared" si="172"/>
        <v>9.93</v>
      </c>
      <c r="AF148" s="37">
        <f t="shared" si="172"/>
        <v>8.56</v>
      </c>
      <c r="AG148" s="37">
        <f t="shared" si="172"/>
        <v>7.82</v>
      </c>
      <c r="AH148" s="37">
        <f t="shared" si="172"/>
        <v>7.49</v>
      </c>
      <c r="AI148" s="37">
        <f t="shared" si="172"/>
        <v>7.5</v>
      </c>
      <c r="AJ148" s="37">
        <f t="shared" si="172"/>
        <v>7.51</v>
      </c>
      <c r="AK148" s="37">
        <f t="shared" si="172"/>
        <v>7.36</v>
      </c>
      <c r="AL148" s="37">
        <f t="shared" si="172"/>
        <v>6.92</v>
      </c>
      <c r="AM148" s="37">
        <f t="shared" si="172"/>
        <v>6.98</v>
      </c>
      <c r="AN148" s="37">
        <f t="shared" si="172"/>
        <v>6.78</v>
      </c>
      <c r="AO148" s="37">
        <f t="shared" si="172"/>
        <v>7.05</v>
      </c>
      <c r="AP148" s="37">
        <f t="shared" si="172"/>
        <v>8.08</v>
      </c>
      <c r="AQ148" s="37">
        <f t="shared" si="172"/>
        <v>7.77</v>
      </c>
      <c r="AR148" s="37">
        <f t="shared" si="172"/>
        <v>8.06</v>
      </c>
      <c r="AS148" s="37">
        <f t="shared" si="172"/>
        <v>8.26</v>
      </c>
      <c r="AT148" s="37">
        <f t="shared" si="172"/>
        <v>8.67</v>
      </c>
      <c r="AU148" s="37">
        <f t="shared" si="172"/>
        <v>8.89</v>
      </c>
      <c r="AV148" s="37">
        <f t="shared" si="172"/>
        <v>9.41</v>
      </c>
      <c r="AW148" s="37">
        <f t="shared" si="172"/>
        <v>9.98</v>
      </c>
      <c r="AX148" s="37">
        <f t="shared" si="172"/>
        <v>10.11</v>
      </c>
      <c r="AY148" s="78">
        <f t="shared" si="172"/>
        <v>10.82</v>
      </c>
      <c r="AZ148" s="79">
        <f t="shared" si="172"/>
        <v>10.53</v>
      </c>
      <c r="BA148" s="79">
        <f t="shared" ref="BA148:BB148" si="173">+BA97</f>
        <v>10.72</v>
      </c>
      <c r="BB148" s="80">
        <f t="shared" si="173"/>
        <v>11.2</v>
      </c>
      <c r="BC148" s="125">
        <f t="shared" ref="BC148:BD148" si="174">+BC97</f>
        <v>11.7</v>
      </c>
      <c r="BD148" s="126">
        <f t="shared" si="174"/>
        <v>12.07</v>
      </c>
      <c r="BE148" s="126">
        <f t="shared" ref="BE148:BF148" si="175">+BE97</f>
        <v>13</v>
      </c>
      <c r="BF148" s="127">
        <f t="shared" si="175"/>
        <v>14.21</v>
      </c>
    </row>
    <row r="149" spans="2:58" x14ac:dyDescent="0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59"/>
      <c r="AZ149" s="57"/>
      <c r="BA149" s="57"/>
      <c r="BB149" s="58"/>
      <c r="BC149" s="128"/>
      <c r="BD149" s="106"/>
      <c r="BE149" s="129"/>
      <c r="BF149" s="130"/>
    </row>
    <row r="150" spans="2:58" ht="21" x14ac:dyDescent="0.35">
      <c r="B150" s="38" t="s">
        <v>94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59"/>
      <c r="AZ150" s="87" t="s">
        <v>105</v>
      </c>
      <c r="BA150" s="87"/>
      <c r="BB150" s="88"/>
      <c r="BC150" s="137"/>
      <c r="BD150" s="138"/>
      <c r="BE150" s="139"/>
      <c r="BF150" s="140"/>
    </row>
    <row r="151" spans="2:58" x14ac:dyDescent="0.25">
      <c r="B151" s="8" t="s">
        <v>51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59"/>
      <c r="AZ151" s="82">
        <v>1267</v>
      </c>
      <c r="BA151" s="82">
        <v>3701</v>
      </c>
      <c r="BB151" s="83">
        <v>4540</v>
      </c>
      <c r="BC151" s="134">
        <v>3602</v>
      </c>
      <c r="BD151" s="135">
        <v>3492</v>
      </c>
      <c r="BE151" s="135">
        <v>3173</v>
      </c>
      <c r="BF151" s="136">
        <v>2656</v>
      </c>
    </row>
    <row r="152" spans="2:58" x14ac:dyDescent="0.25">
      <c r="B152" s="8" t="s">
        <v>52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59"/>
      <c r="AZ152" s="57">
        <v>17835</v>
      </c>
      <c r="BA152" s="57">
        <v>50704</v>
      </c>
      <c r="BB152" s="58">
        <v>45917</v>
      </c>
      <c r="BC152" s="108">
        <v>43663</v>
      </c>
      <c r="BD152" s="106">
        <v>47791</v>
      </c>
      <c r="BE152" s="106">
        <v>56393</v>
      </c>
      <c r="BF152" s="107">
        <v>56988</v>
      </c>
    </row>
    <row r="153" spans="2:58" x14ac:dyDescent="0.25">
      <c r="B153" s="8" t="s">
        <v>53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59"/>
      <c r="AZ153" s="82"/>
      <c r="BA153" s="82"/>
      <c r="BB153" s="83"/>
      <c r="BC153" s="131"/>
      <c r="BD153" s="135"/>
      <c r="BE153" s="135"/>
      <c r="BF153" s="136"/>
    </row>
    <row r="154" spans="2:58" x14ac:dyDescent="0.25">
      <c r="B154" t="s">
        <v>54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63"/>
      <c r="AZ154" s="64">
        <v>123</v>
      </c>
      <c r="BA154" s="64">
        <f>251+128</f>
        <v>379</v>
      </c>
      <c r="BB154" s="65">
        <f>250+141</f>
        <v>391</v>
      </c>
      <c r="BC154" s="112">
        <v>305</v>
      </c>
      <c r="BD154" s="113">
        <v>334</v>
      </c>
      <c r="BE154" s="113">
        <v>427</v>
      </c>
      <c r="BF154" s="114">
        <v>404</v>
      </c>
    </row>
    <row r="155" spans="2:58" x14ac:dyDescent="0.25">
      <c r="B155" t="s">
        <v>55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63"/>
      <c r="AZ155" s="64">
        <v>412</v>
      </c>
      <c r="BA155" s="64">
        <v>1080</v>
      </c>
      <c r="BB155" s="65">
        <v>1287</v>
      </c>
      <c r="BC155" s="112">
        <v>1196</v>
      </c>
      <c r="BD155" s="113">
        <v>1053</v>
      </c>
      <c r="BE155" s="113">
        <v>1053</v>
      </c>
      <c r="BF155" s="114">
        <v>1021</v>
      </c>
    </row>
    <row r="156" spans="2:58" x14ac:dyDescent="0.25">
      <c r="B156" t="s">
        <v>56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63"/>
      <c r="AZ156" s="64">
        <f t="shared" ref="AZ156:BA156" si="176">+AZ155+AZ154</f>
        <v>535</v>
      </c>
      <c r="BA156" s="64">
        <f t="shared" si="176"/>
        <v>1459</v>
      </c>
      <c r="BB156" s="65">
        <f t="shared" ref="BB156:BC156" si="177">+BB155+BB154</f>
        <v>1678</v>
      </c>
      <c r="BC156" s="112">
        <f t="shared" si="177"/>
        <v>1501</v>
      </c>
      <c r="BD156" s="113">
        <f t="shared" ref="BD156:BE156" si="178">+BD155+BD154</f>
        <v>1387</v>
      </c>
      <c r="BE156" s="113">
        <f t="shared" si="178"/>
        <v>1480</v>
      </c>
      <c r="BF156" s="114">
        <f t="shared" ref="BF156" si="179">+BF155+BF154</f>
        <v>1425</v>
      </c>
    </row>
    <row r="157" spans="2:58" x14ac:dyDescent="0.25">
      <c r="B157" s="8" t="s">
        <v>57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63"/>
      <c r="AZ157" s="82"/>
      <c r="BA157" s="82"/>
      <c r="BB157" s="83"/>
      <c r="BC157" s="134"/>
      <c r="BD157" s="135"/>
      <c r="BE157" s="135"/>
      <c r="BF157" s="136"/>
    </row>
    <row r="158" spans="2:58" x14ac:dyDescent="0.25">
      <c r="B158" t="s">
        <v>54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85"/>
      <c r="AZ158" s="61">
        <f>+AZ162/AZ154</f>
        <v>4.5447154471544717</v>
      </c>
      <c r="BA158" s="61">
        <f t="shared" ref="BA158:BB158" si="180">+BA162/BA154</f>
        <v>3.8390501319261214</v>
      </c>
      <c r="BB158" s="62">
        <f t="shared" si="180"/>
        <v>4.3606138107416879</v>
      </c>
      <c r="BC158" s="109">
        <f t="shared" ref="BC158:BD158" si="181">+BC162/BC154</f>
        <v>3.622950819672131</v>
      </c>
      <c r="BD158" s="110">
        <f t="shared" si="181"/>
        <v>3.7185628742514969</v>
      </c>
      <c r="BE158" s="110">
        <f t="shared" ref="BE158:BF158" si="182">+BE162/BE154</f>
        <v>3.8173302107728335</v>
      </c>
      <c r="BF158" s="111">
        <f t="shared" si="182"/>
        <v>3.4207920792079207</v>
      </c>
    </row>
    <row r="159" spans="2:58" x14ac:dyDescent="0.25">
      <c r="B159" t="s">
        <v>55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85"/>
      <c r="AZ159" s="79">
        <f t="shared" ref="AZ159:BB159" si="183">+AZ163/AZ155</f>
        <v>0.20388349514563106</v>
      </c>
      <c r="BA159" s="79">
        <f t="shared" si="183"/>
        <v>0.21851851851851853</v>
      </c>
      <c r="BB159" s="80">
        <f t="shared" si="183"/>
        <v>0.20668220668220669</v>
      </c>
      <c r="BC159" s="125">
        <f t="shared" ref="BC159:BD159" si="184">+BC163/BC155</f>
        <v>0.22157190635451504</v>
      </c>
      <c r="BD159" s="126">
        <f t="shared" si="184"/>
        <v>0.22507122507122507</v>
      </c>
      <c r="BE159" s="126">
        <f t="shared" ref="BE159:BF159" si="185">+BE163/BE155</f>
        <v>0.19753086419753085</v>
      </c>
      <c r="BF159" s="127">
        <f t="shared" si="185"/>
        <v>0.1792360430950049</v>
      </c>
    </row>
    <row r="160" spans="2:58" x14ac:dyDescent="0.25">
      <c r="B160" t="s">
        <v>58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85"/>
      <c r="AZ160" s="61">
        <f t="shared" ref="AZ160:BB160" si="186">+AZ164/AZ156</f>
        <v>1.2018691588785047</v>
      </c>
      <c r="BA160" s="61">
        <f t="shared" si="186"/>
        <v>1.1590130226182316</v>
      </c>
      <c r="BB160" s="62">
        <f t="shared" si="186"/>
        <v>1.1746126340882002</v>
      </c>
      <c r="BC160" s="109">
        <f t="shared" ref="BC160:BD160" si="187">+BC164/BC156</f>
        <v>0.91272485009993343</v>
      </c>
      <c r="BD160" s="110">
        <f t="shared" si="187"/>
        <v>1.0663302090843547</v>
      </c>
      <c r="BE160" s="110">
        <f t="shared" ref="BE160:BF160" si="188">+BE164/BE156</f>
        <v>1.241891891891892</v>
      </c>
      <c r="BF160" s="111">
        <f t="shared" si="188"/>
        <v>1.0982456140350878</v>
      </c>
    </row>
    <row r="161" spans="2:58" x14ac:dyDescent="0.25">
      <c r="B161" s="8" t="s">
        <v>59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63"/>
      <c r="AZ161" s="82"/>
      <c r="BA161" s="82"/>
      <c r="BB161" s="83"/>
      <c r="BC161" s="134"/>
      <c r="BD161" s="135"/>
      <c r="BE161" s="135"/>
      <c r="BF161" s="136"/>
    </row>
    <row r="162" spans="2:58" x14ac:dyDescent="0.25">
      <c r="B162" t="s">
        <v>54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63"/>
      <c r="AZ162" s="64">
        <f>559</f>
        <v>559</v>
      </c>
      <c r="BA162" s="64">
        <v>1455</v>
      </c>
      <c r="BB162" s="65">
        <f>1088+617</f>
        <v>1705</v>
      </c>
      <c r="BC162" s="112">
        <v>1105</v>
      </c>
      <c r="BD162" s="113">
        <v>1242</v>
      </c>
      <c r="BE162" s="113">
        <v>1630</v>
      </c>
      <c r="BF162" s="114">
        <v>1382</v>
      </c>
    </row>
    <row r="163" spans="2:58" x14ac:dyDescent="0.25">
      <c r="B163" t="s">
        <v>55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63"/>
      <c r="AZ163" s="57">
        <v>84</v>
      </c>
      <c r="BA163" s="57">
        <v>236</v>
      </c>
      <c r="BB163" s="58">
        <v>266</v>
      </c>
      <c r="BC163" s="108">
        <v>265</v>
      </c>
      <c r="BD163" s="106">
        <v>237</v>
      </c>
      <c r="BE163" s="106">
        <v>208</v>
      </c>
      <c r="BF163" s="107">
        <v>183</v>
      </c>
    </row>
    <row r="164" spans="2:58" x14ac:dyDescent="0.25">
      <c r="B164" t="s">
        <v>56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63"/>
      <c r="AZ164" s="64">
        <f t="shared" ref="AZ164:BA164" si="189">+AZ163+AZ162</f>
        <v>643</v>
      </c>
      <c r="BA164" s="64">
        <f t="shared" si="189"/>
        <v>1691</v>
      </c>
      <c r="BB164" s="65">
        <f t="shared" ref="BB164:BC164" si="190">+BB163+BB162</f>
        <v>1971</v>
      </c>
      <c r="BC164" s="112">
        <f t="shared" si="190"/>
        <v>1370</v>
      </c>
      <c r="BD164" s="113">
        <f t="shared" ref="BD164:BE164" si="191">+BD163+BD162</f>
        <v>1479</v>
      </c>
      <c r="BE164" s="113">
        <f t="shared" si="191"/>
        <v>1838</v>
      </c>
      <c r="BF164" s="114">
        <f t="shared" ref="BF164" si="192">+BF163+BF162</f>
        <v>1565</v>
      </c>
    </row>
    <row r="165" spans="2:58" x14ac:dyDescent="0.25">
      <c r="B165" s="8" t="s">
        <v>60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43"/>
      <c r="AY165" s="63"/>
      <c r="AZ165" s="82"/>
      <c r="BA165" s="82"/>
      <c r="BB165" s="83"/>
      <c r="BC165" s="134"/>
      <c r="BD165" s="135"/>
      <c r="BE165" s="135"/>
      <c r="BF165" s="136"/>
    </row>
    <row r="166" spans="2:58" x14ac:dyDescent="0.25">
      <c r="B166" t="s">
        <v>54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63"/>
      <c r="AZ166" s="64">
        <v>1683</v>
      </c>
      <c r="BA166" s="64">
        <v>1668</v>
      </c>
      <c r="BB166" s="65">
        <v>1602</v>
      </c>
      <c r="BC166" s="112">
        <v>1856</v>
      </c>
      <c r="BD166" s="113">
        <v>1872</v>
      </c>
      <c r="BE166" s="113">
        <v>1720</v>
      </c>
      <c r="BF166" s="114">
        <v>1719</v>
      </c>
    </row>
    <row r="167" spans="2:58" x14ac:dyDescent="0.25">
      <c r="B167" t="s">
        <v>55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63"/>
      <c r="AZ167" s="64">
        <v>83</v>
      </c>
      <c r="BA167" s="64">
        <v>99</v>
      </c>
      <c r="BB167" s="65">
        <v>67</v>
      </c>
      <c r="BC167" s="112">
        <v>81</v>
      </c>
      <c r="BD167" s="113">
        <v>88</v>
      </c>
      <c r="BE167" s="113">
        <v>83</v>
      </c>
      <c r="BF167" s="114">
        <v>79</v>
      </c>
    </row>
    <row r="168" spans="2:58" x14ac:dyDescent="0.25">
      <c r="B168" t="s">
        <v>56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63"/>
      <c r="AZ168" s="64">
        <f t="shared" ref="AZ168" si="193">+((AZ166*AZ154)+(AZ167*AZ155))/(AZ156)</f>
        <v>450.85046728971963</v>
      </c>
      <c r="BA168" s="64">
        <f>+((BA166*BA154)+(BA167*BA155))/(BA156)-1</f>
        <v>505.57436600411239</v>
      </c>
      <c r="BB168" s="65">
        <f>+((BB166*BB154)+(BB167*BB155))/(BB156)</f>
        <v>424.67878426698451</v>
      </c>
      <c r="BC168" s="112">
        <f>+((BC166*BC154)+(BC167*BC155))/(BC156)</f>
        <v>441.67621585609595</v>
      </c>
      <c r="BD168" s="113">
        <f>+((BD166*BD154)+(BD167*BD155))/(BD156)</f>
        <v>517.60057678442683</v>
      </c>
      <c r="BE168" s="113">
        <f>+((BE166*BE154)+(BE167*BE155))/(BE156)</f>
        <v>555.29662162162163</v>
      </c>
      <c r="BF168" s="114">
        <f>+((BF166*BF154)+(BF167*BF155))/(BF156)</f>
        <v>543.95438596491226</v>
      </c>
    </row>
    <row r="169" spans="2:58" x14ac:dyDescent="0.25">
      <c r="B169" s="8" t="s">
        <v>62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84"/>
      <c r="AZ169" s="82"/>
      <c r="BA169" s="82"/>
      <c r="BB169" s="83"/>
      <c r="BC169" s="134"/>
      <c r="BD169" s="135"/>
      <c r="BE169" s="135"/>
      <c r="BF169" s="136"/>
    </row>
    <row r="170" spans="2:58" x14ac:dyDescent="0.25">
      <c r="B170" t="s">
        <v>63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7"/>
      <c r="N170" s="16"/>
      <c r="O170" s="16"/>
      <c r="P170" s="16"/>
      <c r="Q170" s="16"/>
      <c r="R170" s="16"/>
      <c r="S170" s="16"/>
      <c r="T170" s="18"/>
      <c r="U170" s="10"/>
      <c r="V170" s="10"/>
      <c r="W170" s="10"/>
      <c r="X170" s="10"/>
      <c r="Y170" s="10"/>
      <c r="Z170" s="10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85"/>
      <c r="AZ170" s="67">
        <v>12.8</v>
      </c>
      <c r="BA170" s="67">
        <v>53.4</v>
      </c>
      <c r="BB170" s="68">
        <v>50.8</v>
      </c>
      <c r="BC170" s="100">
        <v>64</v>
      </c>
      <c r="BD170" s="101">
        <v>60</v>
      </c>
      <c r="BE170" s="101">
        <v>55.1</v>
      </c>
      <c r="BF170" s="102">
        <v>47.8</v>
      </c>
    </row>
    <row r="171" spans="2:58" x14ac:dyDescent="0.25">
      <c r="B171" t="s">
        <v>65</v>
      </c>
      <c r="C171" s="42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9"/>
      <c r="S171" s="19"/>
      <c r="T171" s="19"/>
      <c r="U171" s="19"/>
      <c r="V171" s="19"/>
      <c r="W171" s="19"/>
      <c r="X171" s="19"/>
      <c r="Y171" s="19"/>
      <c r="Z171" s="19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85"/>
      <c r="AZ171" s="69">
        <v>16.8</v>
      </c>
      <c r="BA171" s="69">
        <v>19.2</v>
      </c>
      <c r="BB171" s="70">
        <v>15.7</v>
      </c>
      <c r="BC171" s="115">
        <v>28.7</v>
      </c>
      <c r="BD171" s="116">
        <v>26.2</v>
      </c>
      <c r="BE171" s="116">
        <v>16.3</v>
      </c>
      <c r="BF171" s="117">
        <v>21.7</v>
      </c>
    </row>
    <row r="172" spans="2:58" x14ac:dyDescent="0.25">
      <c r="B172" t="s">
        <v>67</v>
      </c>
      <c r="C172" s="42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85"/>
      <c r="AZ172" s="67">
        <v>0</v>
      </c>
      <c r="BA172" s="67">
        <v>12.8</v>
      </c>
      <c r="BB172" s="68">
        <v>48.4</v>
      </c>
      <c r="BC172" s="100">
        <v>0</v>
      </c>
      <c r="BD172" s="101">
        <v>3.7</v>
      </c>
      <c r="BE172" s="101">
        <v>2.2999999999999998</v>
      </c>
      <c r="BF172" s="102">
        <v>11.6</v>
      </c>
    </row>
    <row r="173" spans="2:58" x14ac:dyDescent="0.25">
      <c r="B173" t="s">
        <v>68</v>
      </c>
      <c r="C173" s="4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66"/>
      <c r="AZ173" s="69">
        <f t="shared" ref="AZ173:BE173" si="194">+AZ172+AZ171+AZ170</f>
        <v>29.6</v>
      </c>
      <c r="BA173" s="69">
        <f t="shared" si="194"/>
        <v>85.4</v>
      </c>
      <c r="BB173" s="70">
        <f t="shared" si="194"/>
        <v>114.89999999999999</v>
      </c>
      <c r="BC173" s="115">
        <f t="shared" si="194"/>
        <v>92.7</v>
      </c>
      <c r="BD173" s="116">
        <f t="shared" si="194"/>
        <v>89.9</v>
      </c>
      <c r="BE173" s="116">
        <f t="shared" si="194"/>
        <v>73.7</v>
      </c>
      <c r="BF173" s="117">
        <f t="shared" ref="BF173" si="195">+BF172+BF171+BF170</f>
        <v>81.099999999999994</v>
      </c>
    </row>
    <row r="174" spans="2:58" x14ac:dyDescent="0.2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Y174" s="81"/>
      <c r="AZ174" s="82"/>
      <c r="BA174" s="82"/>
      <c r="BB174" s="83"/>
      <c r="BC174" s="134"/>
      <c r="BD174" s="135"/>
      <c r="BE174" s="135"/>
      <c r="BF174" s="136"/>
    </row>
    <row r="175" spans="2:58" x14ac:dyDescent="0.25">
      <c r="B175" s="24" t="s">
        <v>69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25"/>
      <c r="V175" s="25"/>
      <c r="W175" s="25"/>
      <c r="X175" s="14"/>
      <c r="Y175" s="14"/>
      <c r="Z175" s="14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63"/>
      <c r="AZ175" s="57"/>
      <c r="BA175" s="57"/>
      <c r="BB175" s="58"/>
      <c r="BC175" s="108"/>
      <c r="BD175" s="106"/>
      <c r="BE175" s="106"/>
      <c r="BF175" s="107"/>
    </row>
    <row r="176" spans="2:58" x14ac:dyDescent="0.25">
      <c r="B176" s="11" t="s">
        <v>71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66"/>
      <c r="AZ176" s="69">
        <v>280.5</v>
      </c>
      <c r="BA176" s="69">
        <v>745.4</v>
      </c>
      <c r="BB176" s="70">
        <v>856.1</v>
      </c>
      <c r="BC176" s="115">
        <v>626.79999999999995</v>
      </c>
      <c r="BD176" s="116">
        <f>1318.1-BC176</f>
        <v>691.3</v>
      </c>
      <c r="BE176" s="116">
        <v>862.1</v>
      </c>
      <c r="BF176" s="117">
        <v>794.3</v>
      </c>
    </row>
    <row r="177" spans="2:58" x14ac:dyDescent="0.25">
      <c r="B177" s="11" t="s">
        <v>72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71"/>
      <c r="AZ177" s="27">
        <v>-241.2</v>
      </c>
      <c r="BA177" s="27">
        <v>-738.8</v>
      </c>
      <c r="BB177" s="72">
        <v>-712.8</v>
      </c>
      <c r="BC177" s="118">
        <v>-662.8</v>
      </c>
      <c r="BD177" s="26">
        <f>-1380.8-BC177</f>
        <v>-718</v>
      </c>
      <c r="BE177" s="26">
        <v>-821.7</v>
      </c>
      <c r="BF177" s="119">
        <v>-775.5</v>
      </c>
    </row>
    <row r="178" spans="2:58" x14ac:dyDescent="0.25">
      <c r="B178" s="11" t="s">
        <v>73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66"/>
      <c r="AZ178" s="69">
        <f t="shared" ref="AZ178:BA178" si="196">+AZ177+AZ176</f>
        <v>39.300000000000011</v>
      </c>
      <c r="BA178" s="69">
        <f t="shared" si="196"/>
        <v>6.6000000000000227</v>
      </c>
      <c r="BB178" s="70">
        <f t="shared" ref="BB178:BC178" si="197">+BB177+BB176</f>
        <v>143.30000000000007</v>
      </c>
      <c r="BC178" s="115">
        <f t="shared" si="197"/>
        <v>-36</v>
      </c>
      <c r="BD178" s="116">
        <f t="shared" ref="BD178:BE178" si="198">+BD177+BD176</f>
        <v>-26.700000000000045</v>
      </c>
      <c r="BE178" s="116">
        <f t="shared" si="198"/>
        <v>40.399999999999977</v>
      </c>
      <c r="BF178" s="117">
        <f t="shared" ref="BF178" si="199">+BF177+BF176</f>
        <v>18.799999999999955</v>
      </c>
    </row>
    <row r="179" spans="2:58" x14ac:dyDescent="0.25">
      <c r="B179" s="11" t="s">
        <v>74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66"/>
      <c r="AZ179" s="69">
        <v>-31.4</v>
      </c>
      <c r="BA179" s="69">
        <v>-130.80000000000001</v>
      </c>
      <c r="BB179" s="70">
        <v>-146.1</v>
      </c>
      <c r="BC179" s="115">
        <v>-133.69999999999999</v>
      </c>
      <c r="BD179" s="116">
        <f>-312.3-BC179</f>
        <v>-178.60000000000002</v>
      </c>
      <c r="BE179" s="116">
        <v>-207</v>
      </c>
      <c r="BF179" s="117">
        <v>-185.3</v>
      </c>
    </row>
    <row r="180" spans="2:58" x14ac:dyDescent="0.25">
      <c r="B180" s="11" t="s">
        <v>75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19"/>
      <c r="M180" s="22"/>
      <c r="N180" s="22"/>
      <c r="O180" s="22"/>
      <c r="P180" s="19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66"/>
      <c r="AZ180" s="69">
        <v>-7.2</v>
      </c>
      <c r="BA180" s="69">
        <v>-15.6</v>
      </c>
      <c r="BB180" s="70">
        <v>-47.8</v>
      </c>
      <c r="BC180" s="115">
        <v>-30.2</v>
      </c>
      <c r="BD180" s="116">
        <f>-74.2-BC180</f>
        <v>-44</v>
      </c>
      <c r="BE180" s="116">
        <v>-2.9</v>
      </c>
      <c r="BF180" s="117">
        <f>-6.9-12.1</f>
        <v>-19</v>
      </c>
    </row>
    <row r="181" spans="2:58" x14ac:dyDescent="0.25">
      <c r="B181" s="11" t="s">
        <v>76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9"/>
      <c r="AB181" s="29"/>
      <c r="AC181" s="29"/>
      <c r="AD181" s="29"/>
      <c r="AE181" s="29"/>
      <c r="AF181" s="29"/>
      <c r="AG181" s="29"/>
      <c r="AH181" s="29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66"/>
      <c r="AZ181" s="69">
        <v>-1.3</v>
      </c>
      <c r="BA181" s="69">
        <v>-3.8</v>
      </c>
      <c r="BB181" s="70">
        <v>-3.3</v>
      </c>
      <c r="BC181" s="115">
        <v>-4.0999999999999996</v>
      </c>
      <c r="BD181" s="116">
        <f>-8.5-BC181</f>
        <v>-4.4000000000000004</v>
      </c>
      <c r="BE181" s="116">
        <v>-4.3</v>
      </c>
      <c r="BF181" s="117">
        <v>-3.9</v>
      </c>
    </row>
    <row r="182" spans="2:58" x14ac:dyDescent="0.25">
      <c r="B182" s="11" t="s">
        <v>77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66"/>
      <c r="AZ182" s="69">
        <f>0.9</f>
        <v>0.9</v>
      </c>
      <c r="BA182" s="69">
        <v>40.799999999999997</v>
      </c>
      <c r="BB182" s="70">
        <v>37.1</v>
      </c>
      <c r="BC182" s="115">
        <v>37.299999999999997</v>
      </c>
      <c r="BD182" s="116">
        <f>61.9-BC182</f>
        <v>24.6</v>
      </c>
      <c r="BE182" s="116">
        <v>53.8</v>
      </c>
      <c r="BF182" s="117">
        <v>6.3</v>
      </c>
    </row>
    <row r="183" spans="2:58" ht="15.75" thickBot="1" x14ac:dyDescent="0.3">
      <c r="B183" s="11" t="s">
        <v>78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73"/>
      <c r="AZ183" s="31">
        <f t="shared" ref="AZ183:BA183" si="200">SUM(AZ178:AZ182)</f>
        <v>0.30000000000001259</v>
      </c>
      <c r="BA183" s="31">
        <f t="shared" si="200"/>
        <v>-102.8</v>
      </c>
      <c r="BB183" s="74">
        <f t="shared" ref="BB183:BC183" si="201">SUM(BB178:BB182)</f>
        <v>-16.799999999999919</v>
      </c>
      <c r="BC183" s="120">
        <f t="shared" si="201"/>
        <v>-166.7</v>
      </c>
      <c r="BD183" s="30">
        <f t="shared" ref="BD183:BE183" si="202">SUM(BD178:BD182)</f>
        <v>-229.10000000000008</v>
      </c>
      <c r="BE183" s="30">
        <f t="shared" si="202"/>
        <v>-120.00000000000004</v>
      </c>
      <c r="BF183" s="121">
        <f t="shared" ref="BF183" si="203">SUM(BF178:BF182)</f>
        <v>-183.10000000000005</v>
      </c>
    </row>
    <row r="184" spans="2:58" ht="16.5" thickTop="1" x14ac:dyDescent="0.25">
      <c r="B184" s="39" t="str">
        <f>+B150</f>
        <v>Cooke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43"/>
      <c r="AW184" s="43"/>
      <c r="AX184" s="43"/>
      <c r="AY184" s="86"/>
      <c r="AZ184" s="57"/>
      <c r="BA184" s="57"/>
      <c r="BB184" s="58"/>
      <c r="BC184" s="108"/>
      <c r="BD184" s="106"/>
      <c r="BE184" s="106"/>
      <c r="BF184" s="107"/>
    </row>
    <row r="185" spans="2:58" x14ac:dyDescent="0.25">
      <c r="B185" s="24" t="s">
        <v>79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63"/>
      <c r="AZ185" s="57"/>
      <c r="BA185" s="57"/>
      <c r="BB185" s="58"/>
      <c r="BC185" s="108"/>
      <c r="BD185" s="106"/>
      <c r="BE185" s="106"/>
      <c r="BF185" s="107"/>
    </row>
    <row r="186" spans="2:58" x14ac:dyDescent="0.25">
      <c r="B186" t="s">
        <v>80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63"/>
      <c r="AZ186" s="64">
        <f t="shared" ref="AZ186:BD186" si="204">+AZ176*(1000000)/(AZ164)</f>
        <v>436236.39191290824</v>
      </c>
      <c r="BA186" s="64">
        <f t="shared" si="204"/>
        <v>440804.25783560023</v>
      </c>
      <c r="BB186" s="65">
        <f t="shared" si="204"/>
        <v>434348.0466768138</v>
      </c>
      <c r="BC186" s="112">
        <f t="shared" si="204"/>
        <v>457518.2481751825</v>
      </c>
      <c r="BD186" s="113">
        <f t="shared" si="204"/>
        <v>467410.41244083841</v>
      </c>
      <c r="BE186" s="113">
        <f>+BE176*(1000000)/(BE164)</f>
        <v>469042.43743199127</v>
      </c>
      <c r="BF186" s="114">
        <f>+BF176*(1000000)/(BF164)</f>
        <v>507539.93610223645</v>
      </c>
    </row>
    <row r="187" spans="2:58" x14ac:dyDescent="0.25">
      <c r="B187" t="s">
        <v>81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63"/>
      <c r="AZ187" s="64">
        <v>1270</v>
      </c>
      <c r="BA187" s="64">
        <f>+BA186/(32.15074)/(BA196)</f>
        <v>1278.9690119490676</v>
      </c>
      <c r="BB187" s="65">
        <f>+BB186/(32.15074)/(BB196)</f>
        <v>1206.2265315244406</v>
      </c>
      <c r="BC187" s="112">
        <f>+BC186/(32.15074)/(BC196)</f>
        <v>1216.2744551340536</v>
      </c>
      <c r="BD187" s="113">
        <f>+BD186/(32.15074)/(BD196)</f>
        <v>1204.4815152997871</v>
      </c>
      <c r="BE187" s="113">
        <f>+BE186/(32.15074)/(BE196)</f>
        <v>1122.2195039606727</v>
      </c>
      <c r="BF187" s="114">
        <f>+BF186/(32.15074)/(BF196)</f>
        <v>1110.9260980207907</v>
      </c>
    </row>
    <row r="188" spans="2:58" x14ac:dyDescent="0.25">
      <c r="B188" t="s">
        <v>82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63"/>
      <c r="AZ188" s="64">
        <v>377138</v>
      </c>
      <c r="BA188" s="64">
        <v>439030</v>
      </c>
      <c r="BB188" s="65">
        <v>363318</v>
      </c>
      <c r="BC188" s="112">
        <v>485109</v>
      </c>
      <c r="BD188" s="113">
        <v>484652</v>
      </c>
      <c r="BE188" s="113">
        <v>446028</v>
      </c>
      <c r="BF188" s="114">
        <v>489393</v>
      </c>
    </row>
    <row r="189" spans="2:58" x14ac:dyDescent="0.25">
      <c r="B189" t="s">
        <v>83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63"/>
      <c r="AZ189" s="64">
        <v>1098</v>
      </c>
      <c r="BA189" s="64">
        <f>+BA188/(32.15074)/($BA$196)</f>
        <v>1273.8211016224236</v>
      </c>
      <c r="BB189" s="65">
        <f>+BB188/(32.15074)/(BB196)</f>
        <v>1008.9692225702161</v>
      </c>
      <c r="BC189" s="112">
        <f>+BC188/(32.15074)/(BC196)</f>
        <v>1289.6221888612113</v>
      </c>
      <c r="BD189" s="113">
        <f>+BD188/(32.15074)/(BD196)</f>
        <v>1248.9117910417967</v>
      </c>
      <c r="BE189" s="113">
        <f>+BE188/(32.15074)/(BE196)</f>
        <v>1067.1557218852865</v>
      </c>
      <c r="BF189" s="114">
        <f>+BF188/(32.15074)/(BF196)</f>
        <v>1071.2052731534659</v>
      </c>
    </row>
    <row r="190" spans="2:58" x14ac:dyDescent="0.25">
      <c r="B190" t="s">
        <v>84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75"/>
      <c r="AZ190" s="76" t="s">
        <v>85</v>
      </c>
      <c r="BA190" s="76" t="s">
        <v>85</v>
      </c>
      <c r="BB190" s="77" t="s">
        <v>85</v>
      </c>
      <c r="BC190" s="122" t="s">
        <v>85</v>
      </c>
      <c r="BD190" s="123" t="s">
        <v>85</v>
      </c>
      <c r="BE190" s="123" t="s">
        <v>85</v>
      </c>
      <c r="BF190" s="124" t="s">
        <v>85</v>
      </c>
    </row>
    <row r="191" spans="2:58" x14ac:dyDescent="0.25">
      <c r="B191" t="s">
        <v>86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75"/>
      <c r="AZ191" s="76" t="s">
        <v>85</v>
      </c>
      <c r="BA191" s="76" t="s">
        <v>85</v>
      </c>
      <c r="BB191" s="77" t="s">
        <v>85</v>
      </c>
      <c r="BC191" s="122" t="s">
        <v>85</v>
      </c>
      <c r="BD191" s="123" t="s">
        <v>85</v>
      </c>
      <c r="BE191" s="123" t="s">
        <v>85</v>
      </c>
      <c r="BF191" s="124" t="s">
        <v>85</v>
      </c>
    </row>
    <row r="192" spans="2:58" x14ac:dyDescent="0.25">
      <c r="B192" t="s">
        <v>87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103"/>
      <c r="AN192" s="103"/>
      <c r="AO192" s="103"/>
      <c r="AP192" s="103"/>
      <c r="AQ192" s="103"/>
      <c r="AR192" s="103"/>
      <c r="AS192" s="103"/>
      <c r="AT192" s="103"/>
      <c r="AU192" s="13"/>
      <c r="AV192" s="13"/>
      <c r="AW192" s="13"/>
      <c r="AX192" s="13"/>
      <c r="AY192" s="63"/>
      <c r="AZ192" s="64">
        <v>429549</v>
      </c>
      <c r="BA192" s="64">
        <v>497575</v>
      </c>
      <c r="BB192" s="65">
        <v>412227</v>
      </c>
      <c r="BC192" s="112">
        <v>564964</v>
      </c>
      <c r="BD192" s="113">
        <v>563218</v>
      </c>
      <c r="BE192" s="113">
        <v>501741</v>
      </c>
      <c r="BF192" s="114">
        <v>548498</v>
      </c>
    </row>
    <row r="193" spans="2:66" x14ac:dyDescent="0.25">
      <c r="B193" t="s">
        <v>88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103"/>
      <c r="AN193" s="103"/>
      <c r="AO193" s="103"/>
      <c r="AP193" s="103"/>
      <c r="AQ193" s="103"/>
      <c r="AR193" s="103"/>
      <c r="AS193" s="103"/>
      <c r="AT193" s="103"/>
      <c r="AU193" s="13"/>
      <c r="AV193" s="13"/>
      <c r="AW193" s="13"/>
      <c r="AX193" s="13"/>
      <c r="AY193" s="63"/>
      <c r="AZ193" s="64">
        <v>1251</v>
      </c>
      <c r="BA193" s="64">
        <f>+BA192/(32.15074)/(BA196)</f>
        <v>1443.6861595785651</v>
      </c>
      <c r="BB193" s="65">
        <f>+BB192/(32.15074)/(BB196)</f>
        <v>1144.7942455712418</v>
      </c>
      <c r="BC193" s="112">
        <f>+BC192/(32.15074)/(BC196)</f>
        <v>1501.9101074352059</v>
      </c>
      <c r="BD193" s="113">
        <f>+BD192/(32.15074)/(BD196)</f>
        <v>1451.3704702074451</v>
      </c>
      <c r="BE193" s="113">
        <f>+BE192/(32.15074)/(BE196)</f>
        <v>1200.4532878080424</v>
      </c>
      <c r="BF193" s="114">
        <f>+BF192/(32.15074)/(BF196)</f>
        <v>1200.5769390124701</v>
      </c>
    </row>
    <row r="194" spans="2:66" x14ac:dyDescent="0.25">
      <c r="B194" t="s">
        <v>89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103"/>
      <c r="AN194" s="103"/>
      <c r="AO194" s="103"/>
      <c r="AP194" s="103"/>
      <c r="AQ194" s="103"/>
      <c r="AR194" s="103"/>
      <c r="AS194" s="103"/>
      <c r="AT194" s="103"/>
      <c r="AU194" s="13"/>
      <c r="AV194" s="13"/>
      <c r="AW194" s="13"/>
      <c r="AX194" s="13"/>
      <c r="AY194" s="63"/>
      <c r="AZ194" s="64">
        <v>429549</v>
      </c>
      <c r="BA194" s="64">
        <f>+BA192</f>
        <v>497575</v>
      </c>
      <c r="BB194" s="65">
        <v>439371</v>
      </c>
      <c r="BC194" s="112">
        <v>564964</v>
      </c>
      <c r="BD194" s="113">
        <v>565720</v>
      </c>
      <c r="BE194" s="113">
        <v>502992</v>
      </c>
      <c r="BF194" s="114">
        <v>555911</v>
      </c>
    </row>
    <row r="195" spans="2:66" x14ac:dyDescent="0.25">
      <c r="B195" t="s">
        <v>90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103"/>
      <c r="AN195" s="103"/>
      <c r="AO195" s="103"/>
      <c r="AP195" s="103"/>
      <c r="AQ195" s="103"/>
      <c r="AR195" s="103"/>
      <c r="AS195" s="103"/>
      <c r="AT195" s="103"/>
      <c r="AU195" s="13"/>
      <c r="AV195" s="13"/>
      <c r="AW195" s="13"/>
      <c r="AX195" s="13"/>
      <c r="AY195" s="63"/>
      <c r="AZ195" s="64">
        <v>1251</v>
      </c>
      <c r="BA195" s="64">
        <f>+BA194/(32.15074)/(BA196)</f>
        <v>1443.6861595785651</v>
      </c>
      <c r="BB195" s="65">
        <f>+BB194/(32.15074)/(BB196)</f>
        <v>1220.1757586739395</v>
      </c>
      <c r="BC195" s="112">
        <f>+BC194/(32.15074)/(BC196)</f>
        <v>1501.9101074352059</v>
      </c>
      <c r="BD195" s="113">
        <f>+BD194/(32.15074)/(BD196)</f>
        <v>1457.8179362267467</v>
      </c>
      <c r="BE195" s="113">
        <f>+BE194/(32.15074)/(BE196)</f>
        <v>1203.4463999177719</v>
      </c>
      <c r="BF195" s="114">
        <f>+BF194/(32.15074)/(BF196)</f>
        <v>1216.8028447567015</v>
      </c>
    </row>
    <row r="196" spans="2:66" x14ac:dyDescent="0.25">
      <c r="B196" s="35" t="s">
        <v>91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78"/>
      <c r="AZ196" s="79">
        <v>10.68</v>
      </c>
      <c r="BA196" s="79">
        <f>+BA148</f>
        <v>10.72</v>
      </c>
      <c r="BB196" s="80">
        <f>+BB148</f>
        <v>11.2</v>
      </c>
      <c r="BC196" s="125">
        <f>+BC148</f>
        <v>11.7</v>
      </c>
      <c r="BD196" s="126">
        <f>+BD148</f>
        <v>12.07</v>
      </c>
      <c r="BE196" s="126">
        <f>+BE148</f>
        <v>13</v>
      </c>
      <c r="BF196" s="127">
        <f>+BF148</f>
        <v>14.21</v>
      </c>
    </row>
    <row r="197" spans="2:66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59"/>
      <c r="AZ197" s="57"/>
      <c r="BA197" s="57"/>
      <c r="BB197" s="58"/>
      <c r="BC197" s="128"/>
      <c r="BD197" s="106"/>
      <c r="BE197" s="106"/>
      <c r="BF197" s="107"/>
    </row>
    <row r="198" spans="2:66" ht="21" x14ac:dyDescent="0.35">
      <c r="B198" s="38" t="s">
        <v>107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Y198" s="81"/>
      <c r="AZ198" s="82"/>
      <c r="BA198" s="82"/>
      <c r="BB198" s="83"/>
      <c r="BC198" s="131"/>
      <c r="BD198" s="135"/>
      <c r="BE198" s="135"/>
      <c r="BF198" s="136"/>
    </row>
    <row r="199" spans="2:66" x14ac:dyDescent="0.25">
      <c r="B199" s="8" t="s">
        <v>51</v>
      </c>
      <c r="C199" s="6">
        <f t="shared" ref="C199:AY200" si="205">+C103+C52+C3</f>
        <v>27033</v>
      </c>
      <c r="D199" s="6">
        <f t="shared" si="205"/>
        <v>30141</v>
      </c>
      <c r="E199" s="6">
        <f t="shared" si="205"/>
        <v>32750</v>
      </c>
      <c r="F199" s="6">
        <f t="shared" si="205"/>
        <v>34749</v>
      </c>
      <c r="G199" s="6">
        <f t="shared" si="205"/>
        <v>31136</v>
      </c>
      <c r="H199" s="6">
        <f t="shared" si="205"/>
        <v>32991</v>
      </c>
      <c r="I199" s="6">
        <f t="shared" si="205"/>
        <v>31637</v>
      </c>
      <c r="J199" s="6">
        <f t="shared" si="205"/>
        <v>31998</v>
      </c>
      <c r="K199" s="6">
        <f t="shared" si="205"/>
        <v>26332</v>
      </c>
      <c r="L199" s="6">
        <f t="shared" si="205"/>
        <v>27473</v>
      </c>
      <c r="M199" s="6">
        <f t="shared" si="205"/>
        <v>26802</v>
      </c>
      <c r="N199" s="6">
        <f t="shared" si="205"/>
        <v>25279</v>
      </c>
      <c r="O199" s="6">
        <f t="shared" si="205"/>
        <v>24162</v>
      </c>
      <c r="P199" s="6">
        <f t="shared" si="205"/>
        <v>23915</v>
      </c>
      <c r="Q199" s="6">
        <f t="shared" si="205"/>
        <v>20856</v>
      </c>
      <c r="R199" s="6">
        <f t="shared" si="205"/>
        <v>24435</v>
      </c>
      <c r="S199" s="6">
        <f t="shared" si="205"/>
        <v>23086</v>
      </c>
      <c r="T199" s="6">
        <f t="shared" si="205"/>
        <v>25328</v>
      </c>
      <c r="U199" s="6">
        <f t="shared" si="205"/>
        <v>26664</v>
      </c>
      <c r="V199" s="6">
        <f t="shared" si="205"/>
        <v>27810</v>
      </c>
      <c r="W199" s="6">
        <f t="shared" si="205"/>
        <v>25500</v>
      </c>
      <c r="X199" s="6">
        <f t="shared" si="205"/>
        <v>26872</v>
      </c>
      <c r="Y199" s="6">
        <f t="shared" si="205"/>
        <v>29068</v>
      </c>
      <c r="Z199" s="6">
        <f t="shared" si="205"/>
        <v>27300</v>
      </c>
      <c r="AA199" s="6">
        <f t="shared" si="205"/>
        <v>21501</v>
      </c>
      <c r="AB199" s="6">
        <f t="shared" si="205"/>
        <v>23972</v>
      </c>
      <c r="AC199" s="6">
        <f t="shared" si="205"/>
        <v>19841</v>
      </c>
      <c r="AD199" s="6">
        <f t="shared" si="205"/>
        <v>17377</v>
      </c>
      <c r="AE199" s="6">
        <f t="shared" si="205"/>
        <v>17728</v>
      </c>
      <c r="AF199" s="6">
        <f t="shared" si="205"/>
        <v>20595</v>
      </c>
      <c r="AG199" s="6">
        <f t="shared" si="205"/>
        <v>19454</v>
      </c>
      <c r="AH199" s="6">
        <f t="shared" si="205"/>
        <v>19947</v>
      </c>
      <c r="AI199" s="6">
        <f t="shared" si="205"/>
        <v>16960</v>
      </c>
      <c r="AJ199" s="6">
        <f t="shared" si="205"/>
        <v>20268</v>
      </c>
      <c r="AK199" s="6">
        <f t="shared" si="205"/>
        <v>18440</v>
      </c>
      <c r="AL199" s="6">
        <f t="shared" si="205"/>
        <v>18167</v>
      </c>
      <c r="AM199" s="6">
        <f t="shared" si="205"/>
        <v>16680</v>
      </c>
      <c r="AN199" s="6">
        <f t="shared" si="205"/>
        <v>18423</v>
      </c>
      <c r="AO199" s="6">
        <f t="shared" si="205"/>
        <v>15902</v>
      </c>
      <c r="AP199" s="6">
        <f t="shared" si="205"/>
        <v>17376</v>
      </c>
      <c r="AQ199" s="6">
        <f t="shared" si="205"/>
        <v>15801</v>
      </c>
      <c r="AR199" s="6">
        <f t="shared" si="205"/>
        <v>17716</v>
      </c>
      <c r="AS199" s="6">
        <f t="shared" si="205"/>
        <v>14456</v>
      </c>
      <c r="AT199" s="6">
        <f t="shared" si="205"/>
        <v>8716</v>
      </c>
      <c r="AU199" s="6">
        <f t="shared" si="205"/>
        <v>12930</v>
      </c>
      <c r="AV199" s="6">
        <f t="shared" si="205"/>
        <v>14374</v>
      </c>
      <c r="AW199" s="6">
        <f t="shared" si="205"/>
        <v>13613</v>
      </c>
      <c r="AX199" s="6">
        <f t="shared" si="205"/>
        <v>13696</v>
      </c>
      <c r="AY199" s="59">
        <f t="shared" si="205"/>
        <v>11268</v>
      </c>
      <c r="AZ199" s="57">
        <f t="shared" ref="AZ199:BB200" si="206">+AZ103+AZ52+AZ3+AZ151</f>
        <v>15815</v>
      </c>
      <c r="BA199" s="57">
        <f t="shared" si="206"/>
        <v>18278</v>
      </c>
      <c r="BB199" s="58">
        <f t="shared" si="206"/>
        <v>19999</v>
      </c>
      <c r="BC199" s="108">
        <f t="shared" ref="BC199:BD199" si="207">+BC103+BC52+BC3+BC151</f>
        <v>16589</v>
      </c>
      <c r="BD199" s="106">
        <f t="shared" si="207"/>
        <v>17751</v>
      </c>
      <c r="BE199" s="106">
        <f t="shared" ref="BE199:BF199" si="208">+BE103+BE52+BE3+BE151</f>
        <v>17789</v>
      </c>
      <c r="BF199" s="107">
        <f t="shared" si="208"/>
        <v>15996</v>
      </c>
      <c r="BG199" s="6"/>
      <c r="BH199" s="6"/>
      <c r="BI199" s="6"/>
      <c r="BJ199" s="6"/>
      <c r="BK199" s="6"/>
      <c r="BL199" s="6"/>
      <c r="BM199" s="6"/>
      <c r="BN199" s="6"/>
    </row>
    <row r="200" spans="2:66" x14ac:dyDescent="0.25">
      <c r="B200" s="8" t="s">
        <v>52</v>
      </c>
      <c r="C200" s="6">
        <f t="shared" si="205"/>
        <v>463702</v>
      </c>
      <c r="D200" s="6">
        <f t="shared" si="205"/>
        <v>503738</v>
      </c>
      <c r="E200" s="6">
        <f t="shared" si="205"/>
        <v>540444</v>
      </c>
      <c r="F200" s="6">
        <f t="shared" si="205"/>
        <v>568025</v>
      </c>
      <c r="G200" s="6">
        <f t="shared" si="205"/>
        <v>511828</v>
      </c>
      <c r="H200" s="6">
        <f t="shared" si="205"/>
        <v>558597</v>
      </c>
      <c r="I200" s="6">
        <f t="shared" si="205"/>
        <v>533551</v>
      </c>
      <c r="J200" s="6">
        <f t="shared" si="205"/>
        <v>505807</v>
      </c>
      <c r="K200" s="6">
        <f t="shared" si="205"/>
        <v>458447</v>
      </c>
      <c r="L200" s="6">
        <f t="shared" si="205"/>
        <v>517038</v>
      </c>
      <c r="M200" s="6">
        <f t="shared" si="205"/>
        <v>523202</v>
      </c>
      <c r="N200" s="6">
        <f t="shared" si="205"/>
        <v>542739</v>
      </c>
      <c r="O200" s="6">
        <f t="shared" si="205"/>
        <v>483861</v>
      </c>
      <c r="P200" s="6">
        <f t="shared" si="205"/>
        <v>497891</v>
      </c>
      <c r="Q200" s="6">
        <f t="shared" si="205"/>
        <v>452489</v>
      </c>
      <c r="R200" s="6">
        <f t="shared" si="205"/>
        <v>526218</v>
      </c>
      <c r="S200" s="6">
        <f t="shared" si="205"/>
        <v>484041</v>
      </c>
      <c r="T200" s="6">
        <f t="shared" si="205"/>
        <v>501741</v>
      </c>
      <c r="U200" s="6">
        <f t="shared" si="205"/>
        <v>509876</v>
      </c>
      <c r="V200" s="6">
        <f t="shared" si="205"/>
        <v>492063</v>
      </c>
      <c r="W200" s="6">
        <f t="shared" si="205"/>
        <v>466315</v>
      </c>
      <c r="X200" s="6">
        <f t="shared" si="205"/>
        <v>490726</v>
      </c>
      <c r="Y200" s="6">
        <f t="shared" si="205"/>
        <v>496200</v>
      </c>
      <c r="Z200" s="6">
        <f t="shared" si="205"/>
        <v>468184</v>
      </c>
      <c r="AA200" s="6">
        <f t="shared" si="205"/>
        <v>357058</v>
      </c>
      <c r="AB200" s="6">
        <f t="shared" si="205"/>
        <v>404740</v>
      </c>
      <c r="AC200" s="6">
        <f t="shared" si="205"/>
        <v>382564</v>
      </c>
      <c r="AD200" s="6">
        <f t="shared" si="205"/>
        <v>387053</v>
      </c>
      <c r="AE200" s="6">
        <f t="shared" si="205"/>
        <v>367974</v>
      </c>
      <c r="AF200" s="6">
        <f t="shared" si="205"/>
        <v>385187</v>
      </c>
      <c r="AG200" s="6">
        <f t="shared" si="205"/>
        <v>379802</v>
      </c>
      <c r="AH200" s="6">
        <f t="shared" si="205"/>
        <v>376943</v>
      </c>
      <c r="AI200" s="6">
        <f t="shared" si="205"/>
        <v>317122</v>
      </c>
      <c r="AJ200" s="6">
        <f t="shared" si="205"/>
        <v>361444</v>
      </c>
      <c r="AK200" s="6">
        <f t="shared" si="205"/>
        <v>356691</v>
      </c>
      <c r="AL200" s="6">
        <f t="shared" si="205"/>
        <v>338341</v>
      </c>
      <c r="AM200" s="6">
        <f t="shared" si="205"/>
        <v>294091</v>
      </c>
      <c r="AN200" s="6">
        <f t="shared" si="205"/>
        <v>335391</v>
      </c>
      <c r="AO200" s="6">
        <f t="shared" si="205"/>
        <v>273712</v>
      </c>
      <c r="AP200" s="6">
        <f t="shared" si="205"/>
        <v>314611</v>
      </c>
      <c r="AQ200" s="6">
        <f t="shared" si="205"/>
        <v>284579</v>
      </c>
      <c r="AR200" s="6">
        <f t="shared" si="205"/>
        <v>293909</v>
      </c>
      <c r="AS200" s="6">
        <f t="shared" si="205"/>
        <v>252982</v>
      </c>
      <c r="AT200" s="6">
        <f t="shared" si="205"/>
        <v>159746</v>
      </c>
      <c r="AU200" s="6">
        <f t="shared" si="205"/>
        <v>263067</v>
      </c>
      <c r="AV200" s="6">
        <f t="shared" si="205"/>
        <v>280049</v>
      </c>
      <c r="AW200" s="6">
        <f t="shared" si="205"/>
        <v>290057</v>
      </c>
      <c r="AX200" s="6">
        <f t="shared" si="205"/>
        <v>299829</v>
      </c>
      <c r="AY200" s="59">
        <f t="shared" si="205"/>
        <v>232717</v>
      </c>
      <c r="AZ200" s="57">
        <f t="shared" si="206"/>
        <v>294927</v>
      </c>
      <c r="BA200" s="57">
        <f t="shared" si="206"/>
        <v>319968</v>
      </c>
      <c r="BB200" s="58">
        <f t="shared" si="206"/>
        <v>331389</v>
      </c>
      <c r="BC200" s="108">
        <f t="shared" ref="BC200:BD200" si="209">+BC104+BC53+BC4+BC152</f>
        <v>309850</v>
      </c>
      <c r="BD200" s="106">
        <f t="shared" si="209"/>
        <v>336141</v>
      </c>
      <c r="BE200" s="106">
        <f t="shared" ref="BE200:BF200" si="210">+BE104+BE53+BE4+BE152</f>
        <v>341976</v>
      </c>
      <c r="BF200" s="107">
        <f t="shared" si="210"/>
        <v>325411</v>
      </c>
      <c r="BG200" s="6"/>
      <c r="BH200" s="6"/>
      <c r="BI200" s="6"/>
      <c r="BJ200" s="6"/>
      <c r="BK200" s="6"/>
      <c r="BL200" s="6"/>
      <c r="BM200" s="6"/>
      <c r="BN200" s="6"/>
    </row>
    <row r="201" spans="2:66" x14ac:dyDescent="0.25">
      <c r="B201" s="8" t="s">
        <v>53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59"/>
      <c r="AZ201" s="57"/>
      <c r="BA201" s="57"/>
      <c r="BB201" s="58"/>
      <c r="BC201" s="128"/>
      <c r="BD201" s="106"/>
      <c r="BE201" s="106"/>
      <c r="BF201" s="107"/>
      <c r="BG201" s="6"/>
      <c r="BH201" s="6"/>
      <c r="BI201" s="6"/>
      <c r="BJ201" s="6"/>
      <c r="BK201" s="6"/>
      <c r="BL201" s="6"/>
      <c r="BM201" s="6"/>
      <c r="BN201" s="6"/>
    </row>
    <row r="202" spans="2:66" x14ac:dyDescent="0.25">
      <c r="B202" t="s">
        <v>54</v>
      </c>
      <c r="C202" s="6">
        <f t="shared" ref="C202:AY204" si="211">+C106+C55+C6</f>
        <v>2502</v>
      </c>
      <c r="D202" s="6">
        <f t="shared" si="211"/>
        <v>2677</v>
      </c>
      <c r="E202" s="6">
        <f t="shared" si="211"/>
        <v>2852</v>
      </c>
      <c r="F202" s="6">
        <f t="shared" si="211"/>
        <v>2927</v>
      </c>
      <c r="G202" s="6">
        <f t="shared" si="211"/>
        <v>2960</v>
      </c>
      <c r="H202" s="6">
        <f t="shared" si="211"/>
        <v>2939</v>
      </c>
      <c r="I202" s="6">
        <f t="shared" si="211"/>
        <v>3017</v>
      </c>
      <c r="J202" s="6">
        <f t="shared" si="211"/>
        <v>2871</v>
      </c>
      <c r="K202" s="6">
        <f t="shared" si="211"/>
        <v>2585</v>
      </c>
      <c r="L202" s="6">
        <f t="shared" si="211"/>
        <v>2713</v>
      </c>
      <c r="M202" s="6">
        <f t="shared" si="211"/>
        <v>2869</v>
      </c>
      <c r="N202" s="6">
        <f t="shared" si="211"/>
        <v>2891</v>
      </c>
      <c r="O202" s="6">
        <f t="shared" si="211"/>
        <v>2637</v>
      </c>
      <c r="P202" s="6">
        <f t="shared" si="211"/>
        <v>2720</v>
      </c>
      <c r="Q202" s="6">
        <f t="shared" si="211"/>
        <v>2587</v>
      </c>
      <c r="R202" s="6">
        <f t="shared" si="211"/>
        <v>2840</v>
      </c>
      <c r="S202" s="6">
        <f t="shared" si="211"/>
        <v>2563</v>
      </c>
      <c r="T202" s="6">
        <f t="shared" si="211"/>
        <v>2634</v>
      </c>
      <c r="U202" s="6">
        <f t="shared" si="211"/>
        <v>2800</v>
      </c>
      <c r="V202" s="6">
        <f t="shared" si="211"/>
        <v>2765</v>
      </c>
      <c r="W202" s="6">
        <f t="shared" si="211"/>
        <v>2588</v>
      </c>
      <c r="X202" s="6">
        <f t="shared" si="211"/>
        <v>2696</v>
      </c>
      <c r="Y202" s="6">
        <f t="shared" si="211"/>
        <v>2730</v>
      </c>
      <c r="Z202" s="6">
        <f t="shared" si="211"/>
        <v>2627</v>
      </c>
      <c r="AA202" s="6">
        <f t="shared" si="211"/>
        <v>1846</v>
      </c>
      <c r="AB202" s="6">
        <f t="shared" si="211"/>
        <v>2226</v>
      </c>
      <c r="AC202" s="6">
        <f t="shared" si="211"/>
        <v>2117</v>
      </c>
      <c r="AD202" s="6">
        <f t="shared" si="211"/>
        <v>2163</v>
      </c>
      <c r="AE202" s="6">
        <f t="shared" si="211"/>
        <v>2040</v>
      </c>
      <c r="AF202" s="6">
        <f t="shared" si="211"/>
        <v>2206</v>
      </c>
      <c r="AG202" s="6">
        <f t="shared" si="211"/>
        <v>2189</v>
      </c>
      <c r="AH202" s="6">
        <f t="shared" si="211"/>
        <v>2118</v>
      </c>
      <c r="AI202" s="6">
        <f t="shared" si="211"/>
        <v>1715</v>
      </c>
      <c r="AJ202" s="6">
        <f t="shared" si="211"/>
        <v>2137</v>
      </c>
      <c r="AK202" s="6">
        <f t="shared" si="211"/>
        <v>2056</v>
      </c>
      <c r="AL202" s="6">
        <f t="shared" si="211"/>
        <v>2016</v>
      </c>
      <c r="AM202" s="6">
        <f t="shared" si="211"/>
        <v>1591</v>
      </c>
      <c r="AN202" s="6">
        <f t="shared" si="211"/>
        <v>1917</v>
      </c>
      <c r="AO202" s="6">
        <f t="shared" si="211"/>
        <v>1768</v>
      </c>
      <c r="AP202" s="6">
        <f t="shared" si="211"/>
        <v>1879</v>
      </c>
      <c r="AQ202" s="6">
        <f t="shared" si="211"/>
        <v>1529</v>
      </c>
      <c r="AR202" s="6">
        <f t="shared" si="211"/>
        <v>1621</v>
      </c>
      <c r="AS202" s="6">
        <f t="shared" si="211"/>
        <v>1435</v>
      </c>
      <c r="AT202" s="6">
        <f t="shared" si="211"/>
        <v>1171</v>
      </c>
      <c r="AU202" s="6">
        <f t="shared" si="211"/>
        <v>1393</v>
      </c>
      <c r="AV202" s="6">
        <f t="shared" si="211"/>
        <v>1711</v>
      </c>
      <c r="AW202" s="6">
        <f t="shared" si="211"/>
        <v>1785</v>
      </c>
      <c r="AX202" s="6">
        <f t="shared" si="211"/>
        <v>1907</v>
      </c>
      <c r="AY202" s="59">
        <f t="shared" si="211"/>
        <v>1522</v>
      </c>
      <c r="AZ202" s="57">
        <f t="shared" ref="AZ202:BA203" si="212">+AZ106+AZ55+AZ6+AZ154</f>
        <v>1890</v>
      </c>
      <c r="BA202" s="57">
        <f t="shared" si="212"/>
        <v>2228</v>
      </c>
      <c r="BB202" s="58">
        <f t="shared" ref="BB202:BC202" si="213">+BB106+BB55+BB6+BB154</f>
        <v>2304</v>
      </c>
      <c r="BC202" s="108">
        <f t="shared" si="213"/>
        <v>1894</v>
      </c>
      <c r="BD202" s="106">
        <f t="shared" ref="BD202:BE202" si="214">+BD106+BD55+BD6+BD154</f>
        <v>2151</v>
      </c>
      <c r="BE202" s="106">
        <f t="shared" si="214"/>
        <v>2339</v>
      </c>
      <c r="BF202" s="107">
        <f t="shared" ref="BF202" si="215">+BF106+BF55+BF6+BF154</f>
        <v>2200</v>
      </c>
      <c r="BG202" s="6"/>
      <c r="BH202" s="6"/>
      <c r="BI202" s="6"/>
      <c r="BJ202" s="6"/>
      <c r="BK202" s="6"/>
      <c r="BL202" s="6"/>
      <c r="BM202" s="6"/>
      <c r="BN202" s="6"/>
    </row>
    <row r="203" spans="2:66" x14ac:dyDescent="0.25">
      <c r="B203" t="s">
        <v>55</v>
      </c>
      <c r="C203" s="6">
        <f t="shared" si="211"/>
        <v>1249</v>
      </c>
      <c r="D203" s="6">
        <f t="shared" si="211"/>
        <v>1375</v>
      </c>
      <c r="E203" s="6">
        <f t="shared" si="211"/>
        <v>1049</v>
      </c>
      <c r="F203" s="6">
        <f t="shared" si="211"/>
        <v>890</v>
      </c>
      <c r="G203" s="6">
        <f t="shared" si="211"/>
        <v>1187</v>
      </c>
      <c r="H203" s="6">
        <f t="shared" si="211"/>
        <v>1126</v>
      </c>
      <c r="I203" s="6">
        <f t="shared" si="211"/>
        <v>1216</v>
      </c>
      <c r="J203" s="6">
        <f t="shared" si="211"/>
        <v>1361</v>
      </c>
      <c r="K203" s="6">
        <f t="shared" si="211"/>
        <v>1750</v>
      </c>
      <c r="L203" s="6">
        <f t="shared" si="211"/>
        <v>1356</v>
      </c>
      <c r="M203" s="6">
        <f t="shared" si="211"/>
        <v>1110</v>
      </c>
      <c r="N203" s="6">
        <f t="shared" si="211"/>
        <v>1122</v>
      </c>
      <c r="O203" s="6">
        <f t="shared" si="211"/>
        <v>1346</v>
      </c>
      <c r="P203" s="6">
        <f t="shared" si="211"/>
        <v>835</v>
      </c>
      <c r="Q203" s="6">
        <f t="shared" si="211"/>
        <v>733</v>
      </c>
      <c r="R203" s="6">
        <f t="shared" si="211"/>
        <v>725</v>
      </c>
      <c r="S203" s="6">
        <f t="shared" si="211"/>
        <v>1022</v>
      </c>
      <c r="T203" s="6">
        <f t="shared" si="211"/>
        <v>980</v>
      </c>
      <c r="U203" s="6">
        <f t="shared" si="211"/>
        <v>879</v>
      </c>
      <c r="V203" s="6">
        <f t="shared" si="211"/>
        <v>829</v>
      </c>
      <c r="W203" s="6">
        <f t="shared" si="211"/>
        <v>773</v>
      </c>
      <c r="X203" s="6">
        <f t="shared" si="211"/>
        <v>741</v>
      </c>
      <c r="Y203" s="6">
        <f t="shared" si="211"/>
        <v>709</v>
      </c>
      <c r="Z203" s="6">
        <f t="shared" si="211"/>
        <v>727</v>
      </c>
      <c r="AA203" s="6">
        <f t="shared" si="211"/>
        <v>1044</v>
      </c>
      <c r="AB203" s="6">
        <f t="shared" si="211"/>
        <v>1240</v>
      </c>
      <c r="AC203" s="6">
        <f t="shared" si="211"/>
        <v>1180</v>
      </c>
      <c r="AD203" s="6">
        <f t="shared" si="211"/>
        <v>1011</v>
      </c>
      <c r="AE203" s="6">
        <f t="shared" si="211"/>
        <v>815</v>
      </c>
      <c r="AF203" s="6">
        <f t="shared" si="211"/>
        <v>995</v>
      </c>
      <c r="AG203" s="6">
        <f t="shared" si="211"/>
        <v>1183</v>
      </c>
      <c r="AH203" s="6">
        <f t="shared" si="211"/>
        <v>1320</v>
      </c>
      <c r="AI203" s="6">
        <f t="shared" si="211"/>
        <v>1441</v>
      </c>
      <c r="AJ203" s="6">
        <f t="shared" si="211"/>
        <v>1331</v>
      </c>
      <c r="AK203" s="6">
        <f t="shared" si="211"/>
        <v>1508</v>
      </c>
      <c r="AL203" s="6">
        <f t="shared" si="211"/>
        <v>1537</v>
      </c>
      <c r="AM203" s="6">
        <f t="shared" si="211"/>
        <v>1851</v>
      </c>
      <c r="AN203" s="6">
        <f t="shared" si="211"/>
        <v>1801</v>
      </c>
      <c r="AO203" s="6">
        <f t="shared" si="211"/>
        <v>1936</v>
      </c>
      <c r="AP203" s="6">
        <f t="shared" si="211"/>
        <v>1905</v>
      </c>
      <c r="AQ203" s="6">
        <f t="shared" si="211"/>
        <v>1974</v>
      </c>
      <c r="AR203" s="6">
        <f t="shared" si="211"/>
        <v>1669</v>
      </c>
      <c r="AS203" s="6">
        <f t="shared" si="211"/>
        <v>1608</v>
      </c>
      <c r="AT203" s="6">
        <f t="shared" si="211"/>
        <v>1178</v>
      </c>
      <c r="AU203" s="6">
        <f t="shared" si="211"/>
        <v>1613</v>
      </c>
      <c r="AV203" s="6">
        <f t="shared" si="211"/>
        <v>1719</v>
      </c>
      <c r="AW203" s="6">
        <f t="shared" si="211"/>
        <v>1825</v>
      </c>
      <c r="AX203" s="6">
        <f t="shared" si="211"/>
        <v>1671</v>
      </c>
      <c r="AY203" s="59">
        <f t="shared" si="211"/>
        <v>1919</v>
      </c>
      <c r="AZ203" s="57">
        <f t="shared" si="212"/>
        <v>2452</v>
      </c>
      <c r="BA203" s="57">
        <f t="shared" si="212"/>
        <v>2823</v>
      </c>
      <c r="BB203" s="58">
        <f t="shared" ref="BB203:BC203" si="216">+BB107+BB56+BB7+BB155</f>
        <v>3097</v>
      </c>
      <c r="BC203" s="108">
        <f t="shared" si="216"/>
        <v>2971</v>
      </c>
      <c r="BD203" s="106">
        <f t="shared" ref="BD203:BE203" si="217">+BD107+BD56+BD7+BD155</f>
        <v>2716</v>
      </c>
      <c r="BE203" s="106">
        <f t="shared" si="217"/>
        <v>2765</v>
      </c>
      <c r="BF203" s="107">
        <f t="shared" ref="BF203" si="218">+BF107+BF56+BF7+BF155</f>
        <v>2825</v>
      </c>
      <c r="BG203" s="6"/>
      <c r="BH203" s="6"/>
      <c r="BI203" s="6"/>
      <c r="BJ203" s="6"/>
      <c r="BK203" s="6"/>
      <c r="BL203" s="6"/>
      <c r="BM203" s="6"/>
      <c r="BN203" s="6"/>
    </row>
    <row r="204" spans="2:66" x14ac:dyDescent="0.25">
      <c r="B204" t="s">
        <v>56</v>
      </c>
      <c r="C204" s="6">
        <f t="shared" si="211"/>
        <v>3751</v>
      </c>
      <c r="D204" s="6">
        <f t="shared" si="211"/>
        <v>4052</v>
      </c>
      <c r="E204" s="6">
        <f t="shared" si="211"/>
        <v>3901</v>
      </c>
      <c r="F204" s="6">
        <f t="shared" si="211"/>
        <v>3817</v>
      </c>
      <c r="G204" s="6">
        <f t="shared" si="211"/>
        <v>4147</v>
      </c>
      <c r="H204" s="6">
        <f t="shared" si="211"/>
        <v>4065</v>
      </c>
      <c r="I204" s="6">
        <f t="shared" si="211"/>
        <v>4233</v>
      </c>
      <c r="J204" s="6">
        <f t="shared" si="211"/>
        <v>4232</v>
      </c>
      <c r="K204" s="6">
        <f t="shared" si="211"/>
        <v>4335</v>
      </c>
      <c r="L204" s="6">
        <f t="shared" si="211"/>
        <v>4069</v>
      </c>
      <c r="M204" s="6">
        <f t="shared" si="211"/>
        <v>3979</v>
      </c>
      <c r="N204" s="6">
        <f t="shared" si="211"/>
        <v>4013</v>
      </c>
      <c r="O204" s="6">
        <f t="shared" si="211"/>
        <v>3983</v>
      </c>
      <c r="P204" s="6">
        <f t="shared" si="211"/>
        <v>3555</v>
      </c>
      <c r="Q204" s="6">
        <f t="shared" si="211"/>
        <v>3320</v>
      </c>
      <c r="R204" s="6">
        <f t="shared" si="211"/>
        <v>3565</v>
      </c>
      <c r="S204" s="6">
        <f t="shared" si="211"/>
        <v>3585</v>
      </c>
      <c r="T204" s="6">
        <f t="shared" si="211"/>
        <v>3614</v>
      </c>
      <c r="U204" s="6">
        <f t="shared" si="211"/>
        <v>3679</v>
      </c>
      <c r="V204" s="6">
        <f t="shared" si="211"/>
        <v>3594</v>
      </c>
      <c r="W204" s="6">
        <f t="shared" si="211"/>
        <v>3361</v>
      </c>
      <c r="X204" s="6">
        <f t="shared" si="211"/>
        <v>3437</v>
      </c>
      <c r="Y204" s="6">
        <f t="shared" si="211"/>
        <v>3439</v>
      </c>
      <c r="Z204" s="6">
        <f t="shared" si="211"/>
        <v>3354</v>
      </c>
      <c r="AA204" s="6">
        <f t="shared" si="211"/>
        <v>2890</v>
      </c>
      <c r="AB204" s="6">
        <f t="shared" si="211"/>
        <v>3466</v>
      </c>
      <c r="AC204" s="6">
        <f t="shared" si="211"/>
        <v>3297</v>
      </c>
      <c r="AD204" s="6">
        <f t="shared" si="211"/>
        <v>3174</v>
      </c>
      <c r="AE204" s="6">
        <f t="shared" si="211"/>
        <v>2855</v>
      </c>
      <c r="AF204" s="6">
        <f t="shared" si="211"/>
        <v>3201</v>
      </c>
      <c r="AG204" s="6">
        <f t="shared" si="211"/>
        <v>3372</v>
      </c>
      <c r="AH204" s="6">
        <f t="shared" si="211"/>
        <v>3438</v>
      </c>
      <c r="AI204" s="6">
        <f t="shared" si="211"/>
        <v>3156</v>
      </c>
      <c r="AJ204" s="6">
        <f t="shared" si="211"/>
        <v>3468</v>
      </c>
      <c r="AK204" s="6">
        <f t="shared" si="211"/>
        <v>3564</v>
      </c>
      <c r="AL204" s="6">
        <f t="shared" si="211"/>
        <v>3553</v>
      </c>
      <c r="AM204" s="6">
        <f t="shared" si="211"/>
        <v>3442</v>
      </c>
      <c r="AN204" s="6">
        <f t="shared" si="211"/>
        <v>3718</v>
      </c>
      <c r="AO204" s="6">
        <f t="shared" si="211"/>
        <v>3704</v>
      </c>
      <c r="AP204" s="6">
        <f t="shared" si="211"/>
        <v>3784</v>
      </c>
      <c r="AQ204" s="6">
        <f t="shared" si="211"/>
        <v>3503</v>
      </c>
      <c r="AR204" s="6">
        <f t="shared" si="211"/>
        <v>3290</v>
      </c>
      <c r="AS204" s="6">
        <f t="shared" si="211"/>
        <v>3043</v>
      </c>
      <c r="AT204" s="6">
        <f t="shared" si="211"/>
        <v>2349</v>
      </c>
      <c r="AU204" s="6">
        <f t="shared" si="211"/>
        <v>3006</v>
      </c>
      <c r="AV204" s="6">
        <f t="shared" si="211"/>
        <v>3430</v>
      </c>
      <c r="AW204" s="6">
        <f t="shared" si="211"/>
        <v>3610</v>
      </c>
      <c r="AX204" s="6">
        <f t="shared" si="211"/>
        <v>3578</v>
      </c>
      <c r="AY204" s="59">
        <f t="shared" si="211"/>
        <v>3441</v>
      </c>
      <c r="AZ204" s="57">
        <f t="shared" ref="AZ204:BE204" si="219">+AZ108+AZ57+AZ8+AZ156</f>
        <v>4342</v>
      </c>
      <c r="BA204" s="57">
        <f t="shared" si="219"/>
        <v>5051</v>
      </c>
      <c r="BB204" s="58">
        <f t="shared" si="219"/>
        <v>5401</v>
      </c>
      <c r="BC204" s="108">
        <f t="shared" si="219"/>
        <v>4865</v>
      </c>
      <c r="BD204" s="106">
        <f t="shared" si="219"/>
        <v>4867</v>
      </c>
      <c r="BE204" s="106">
        <f t="shared" si="219"/>
        <v>5104</v>
      </c>
      <c r="BF204" s="107">
        <f t="shared" ref="BF204" si="220">+BF108+BF57+BF8+BF156</f>
        <v>5025</v>
      </c>
      <c r="BG204" s="6"/>
      <c r="BH204" s="6"/>
      <c r="BI204" s="6"/>
      <c r="BJ204" s="6"/>
      <c r="BK204" s="6"/>
      <c r="BL204" s="6"/>
      <c r="BM204" s="6"/>
      <c r="BN204" s="6"/>
    </row>
    <row r="205" spans="2:66" x14ac:dyDescent="0.25">
      <c r="B205" s="8" t="s">
        <v>57</v>
      </c>
      <c r="AY205" s="81"/>
      <c r="AZ205" s="82"/>
      <c r="BA205" s="82"/>
      <c r="BB205" s="83"/>
      <c r="BC205" s="134"/>
      <c r="BD205" s="135"/>
      <c r="BE205" s="135"/>
      <c r="BF205" s="136"/>
    </row>
    <row r="206" spans="2:66" x14ac:dyDescent="0.25">
      <c r="B206" t="s">
        <v>54</v>
      </c>
      <c r="C206" s="44">
        <f t="shared" ref="C206:AZ208" si="221">+C210/C202</f>
        <v>8.6215027977617904</v>
      </c>
      <c r="D206" s="44">
        <f t="shared" si="221"/>
        <v>8.5360478147179677</v>
      </c>
      <c r="E206" s="44">
        <f t="shared" si="221"/>
        <v>7.9077840112201967</v>
      </c>
      <c r="F206" s="44">
        <f t="shared" si="221"/>
        <v>7.6932012299282544</v>
      </c>
      <c r="G206" s="44">
        <f t="shared" si="221"/>
        <v>7.3118243243243244</v>
      </c>
      <c r="H206" s="44">
        <f t="shared" si="221"/>
        <v>7.0483157536577066</v>
      </c>
      <c r="I206" s="44">
        <f t="shared" si="221"/>
        <v>6.8213457076566124</v>
      </c>
      <c r="J206" s="44">
        <f t="shared" si="221"/>
        <v>6.8836642284918144</v>
      </c>
      <c r="K206" s="44">
        <f t="shared" si="221"/>
        <v>7.424758220502901</v>
      </c>
      <c r="L206" s="44">
        <f t="shared" si="221"/>
        <v>7.4308883155178771</v>
      </c>
      <c r="M206" s="44">
        <f t="shared" si="221"/>
        <v>7.1003834088532587</v>
      </c>
      <c r="N206" s="44">
        <f t="shared" si="221"/>
        <v>7.2452438602559672</v>
      </c>
      <c r="O206" s="44">
        <f t="shared" si="221"/>
        <v>7.9089874857792948</v>
      </c>
      <c r="P206" s="44">
        <f t="shared" si="221"/>
        <v>7.3860294117647056</v>
      </c>
      <c r="Q206" s="44">
        <f t="shared" si="221"/>
        <v>7.3478933127174333</v>
      </c>
      <c r="R206" s="44">
        <f t="shared" si="221"/>
        <v>7.2584507042253525</v>
      </c>
      <c r="S206" s="44">
        <f t="shared" si="221"/>
        <v>7.1982052282481463</v>
      </c>
      <c r="T206" s="44">
        <f t="shared" si="221"/>
        <v>7.5265755504935461</v>
      </c>
      <c r="U206" s="44">
        <f t="shared" si="221"/>
        <v>6.8882142857142856</v>
      </c>
      <c r="V206" s="44">
        <f t="shared" si="221"/>
        <v>6.7428571428571429</v>
      </c>
      <c r="W206" s="44">
        <f t="shared" si="221"/>
        <v>6.7948222565687786</v>
      </c>
      <c r="X206" s="44">
        <f t="shared" si="221"/>
        <v>6.8479228486646884</v>
      </c>
      <c r="Y206" s="44">
        <f t="shared" si="221"/>
        <v>6.8007326007326006</v>
      </c>
      <c r="Z206" s="44">
        <f t="shared" si="221"/>
        <v>6.7651313285116101</v>
      </c>
      <c r="AA206" s="44">
        <f t="shared" si="221"/>
        <v>7.263271939328277</v>
      </c>
      <c r="AB206" s="44">
        <f t="shared" si="221"/>
        <v>6.7641509433962268</v>
      </c>
      <c r="AC206" s="44">
        <f t="shared" si="221"/>
        <v>6.4501653282947569</v>
      </c>
      <c r="AD206" s="44">
        <f t="shared" si="221"/>
        <v>6.2556634304207117</v>
      </c>
      <c r="AE206" s="44">
        <f t="shared" si="221"/>
        <v>6.8553921568627452</v>
      </c>
      <c r="AF206" s="44">
        <f t="shared" si="221"/>
        <v>6.3313689936536717</v>
      </c>
      <c r="AG206" s="44">
        <f t="shared" si="221"/>
        <v>6.0822293284604845</v>
      </c>
      <c r="AH206" s="44">
        <f t="shared" si="221"/>
        <v>6.1633616619452312</v>
      </c>
      <c r="AI206" s="44">
        <f t="shared" si="221"/>
        <v>5.5498542274052483</v>
      </c>
      <c r="AJ206" s="44">
        <f t="shared" si="221"/>
        <v>5.5531118390266725</v>
      </c>
      <c r="AK206" s="44">
        <f t="shared" si="221"/>
        <v>5.9080739299610894</v>
      </c>
      <c r="AL206" s="44">
        <f t="shared" si="221"/>
        <v>5.8462301587301591</v>
      </c>
      <c r="AM206" s="44">
        <f t="shared" si="221"/>
        <v>5.8642363293526083</v>
      </c>
      <c r="AN206" s="44">
        <f t="shared" si="221"/>
        <v>5.4830464267083983</v>
      </c>
      <c r="AO206" s="44">
        <f t="shared" si="221"/>
        <v>5.7330316742081449</v>
      </c>
      <c r="AP206" s="44">
        <f t="shared" si="221"/>
        <v>5.5566790846194785</v>
      </c>
      <c r="AQ206" s="44">
        <f t="shared" si="221"/>
        <v>5.7697841726618702</v>
      </c>
      <c r="AR206" s="44">
        <f t="shared" si="221"/>
        <v>6.2597162245527453</v>
      </c>
      <c r="AS206" s="44">
        <f t="shared" si="221"/>
        <v>6.0508710801393732</v>
      </c>
      <c r="AT206" s="44">
        <f t="shared" si="221"/>
        <v>5.1665243381725023</v>
      </c>
      <c r="AU206" s="44">
        <f t="shared" si="221"/>
        <v>5.9913854989231874</v>
      </c>
      <c r="AV206" s="44">
        <f t="shared" si="221"/>
        <v>5.9111630625365281</v>
      </c>
      <c r="AW206" s="44">
        <f t="shared" si="221"/>
        <v>6.2302521008403362</v>
      </c>
      <c r="AX206" s="44">
        <f t="shared" si="221"/>
        <v>5.8070267435762979</v>
      </c>
      <c r="AY206" s="89">
        <f t="shared" si="221"/>
        <v>6.1990801576872538</v>
      </c>
      <c r="AZ206" s="90">
        <f t="shared" si="221"/>
        <v>5.7116402116402121</v>
      </c>
      <c r="BA206" s="90">
        <f t="shared" ref="BA206:BB206" si="222">+BA210/BA202</f>
        <v>5.463644524236984</v>
      </c>
      <c r="BB206" s="91">
        <f t="shared" si="222"/>
        <v>5.5993923611111107</v>
      </c>
      <c r="BC206" s="141">
        <f t="shared" ref="BC206:BD206" si="223">+BC210/BC202</f>
        <v>4.5126715945089755</v>
      </c>
      <c r="BD206" s="142">
        <f t="shared" si="223"/>
        <v>5.2491864249186424</v>
      </c>
      <c r="BE206" s="142">
        <f t="shared" ref="BE206:BF206" si="224">+BE210/BE202</f>
        <v>4.9576742197520307</v>
      </c>
      <c r="BF206" s="143">
        <f t="shared" si="224"/>
        <v>5.3068181818181817</v>
      </c>
    </row>
    <row r="207" spans="2:66" x14ac:dyDescent="0.25">
      <c r="B207" t="s">
        <v>55</v>
      </c>
      <c r="C207" s="44">
        <f t="shared" si="221"/>
        <v>1.5476381104883907</v>
      </c>
      <c r="D207" s="44">
        <f t="shared" si="221"/>
        <v>1.4429090909090909</v>
      </c>
      <c r="E207" s="44">
        <f t="shared" si="221"/>
        <v>1.5014299332697807</v>
      </c>
      <c r="F207" s="44">
        <f t="shared" si="221"/>
        <v>1.997752808988764</v>
      </c>
      <c r="G207" s="44">
        <f t="shared" si="221"/>
        <v>1.775905644481887</v>
      </c>
      <c r="H207" s="44">
        <f t="shared" si="221"/>
        <v>1.4014209591474245</v>
      </c>
      <c r="I207" s="44">
        <f t="shared" si="221"/>
        <v>1.2516447368421053</v>
      </c>
      <c r="J207" s="44">
        <f t="shared" si="221"/>
        <v>1.4335047759000734</v>
      </c>
      <c r="K207" s="44">
        <f t="shared" si="221"/>
        <v>1.3891428571428572</v>
      </c>
      <c r="L207" s="44">
        <f t="shared" si="221"/>
        <v>1.1828908554572271</v>
      </c>
      <c r="M207" s="44">
        <f t="shared" si="221"/>
        <v>1.2684684684684684</v>
      </c>
      <c r="N207" s="44">
        <f t="shared" si="221"/>
        <v>1.4536541889483066</v>
      </c>
      <c r="O207" s="44">
        <f t="shared" si="221"/>
        <v>0.94353640416047546</v>
      </c>
      <c r="P207" s="44">
        <f t="shared" si="221"/>
        <v>1.5161676646706588</v>
      </c>
      <c r="Q207" s="44">
        <f t="shared" si="221"/>
        <v>1.514324693042292</v>
      </c>
      <c r="R207" s="44">
        <f t="shared" si="221"/>
        <v>1.4937931034482759</v>
      </c>
      <c r="S207" s="44">
        <f t="shared" si="221"/>
        <v>1.6213307240704502</v>
      </c>
      <c r="T207" s="44">
        <f t="shared" si="221"/>
        <v>0.99795918367346936</v>
      </c>
      <c r="U207" s="44">
        <f t="shared" si="221"/>
        <v>1.0318543799772468</v>
      </c>
      <c r="V207" s="44">
        <f t="shared" si="221"/>
        <v>1.0494571773220749</v>
      </c>
      <c r="W207" s="44">
        <f t="shared" si="221"/>
        <v>1.0090556274256144</v>
      </c>
      <c r="X207" s="44">
        <f t="shared" si="221"/>
        <v>0.93252361673414308</v>
      </c>
      <c r="Y207" s="44">
        <f t="shared" si="221"/>
        <v>0.78702397743300423</v>
      </c>
      <c r="Z207" s="44">
        <f t="shared" si="221"/>
        <v>0.76478679504814306</v>
      </c>
      <c r="AA207" s="44">
        <f t="shared" si="221"/>
        <v>1.0747126436781609</v>
      </c>
      <c r="AB207" s="44">
        <f t="shared" si="221"/>
        <v>0.79354838709677422</v>
      </c>
      <c r="AC207" s="44">
        <f t="shared" si="221"/>
        <v>0.67796610169491522</v>
      </c>
      <c r="AD207" s="44">
        <f t="shared" si="221"/>
        <v>0.56280909990108807</v>
      </c>
      <c r="AE207" s="44">
        <f t="shared" si="221"/>
        <v>0.73987730061349688</v>
      </c>
      <c r="AF207" s="44">
        <f t="shared" si="221"/>
        <v>0.87035175879396987</v>
      </c>
      <c r="AG207" s="44">
        <f t="shared" si="221"/>
        <v>0.87912087912087911</v>
      </c>
      <c r="AH207" s="44">
        <f t="shared" si="221"/>
        <v>0.73939393939393938</v>
      </c>
      <c r="AI207" s="44">
        <f t="shared" si="221"/>
        <v>0.67869535045107565</v>
      </c>
      <c r="AJ207" s="44">
        <f t="shared" si="221"/>
        <v>0.85725018782870022</v>
      </c>
      <c r="AK207" s="44">
        <f t="shared" si="221"/>
        <v>0.73806366047745353</v>
      </c>
      <c r="AL207" s="44">
        <f t="shared" si="221"/>
        <v>0.62134027325959662</v>
      </c>
      <c r="AM207" s="44">
        <f t="shared" si="221"/>
        <v>0.62290653700702325</v>
      </c>
      <c r="AN207" s="44">
        <f t="shared" si="221"/>
        <v>0.56191004997223759</v>
      </c>
      <c r="AO207" s="44">
        <f t="shared" si="221"/>
        <v>0.61157024793388426</v>
      </c>
      <c r="AP207" s="44">
        <f t="shared" si="221"/>
        <v>0.64986876640419944</v>
      </c>
      <c r="AQ207" s="44">
        <f t="shared" si="221"/>
        <v>0.71175278622087135</v>
      </c>
      <c r="AR207" s="44">
        <f t="shared" si="221"/>
        <v>0.61593768723786702</v>
      </c>
      <c r="AS207" s="44">
        <f t="shared" si="221"/>
        <v>0.71082089552238803</v>
      </c>
      <c r="AT207" s="44">
        <f t="shared" si="221"/>
        <v>0.66298811544991509</v>
      </c>
      <c r="AU207" s="44">
        <f t="shared" si="221"/>
        <v>0.59888406695598262</v>
      </c>
      <c r="AV207" s="44">
        <f t="shared" si="221"/>
        <v>0.57417102966841183</v>
      </c>
      <c r="AW207" s="44">
        <f t="shared" si="221"/>
        <v>0.51506849315068493</v>
      </c>
      <c r="AX207" s="44">
        <f t="shared" si="221"/>
        <v>0.55415918611609816</v>
      </c>
      <c r="AY207" s="89">
        <f t="shared" si="221"/>
        <v>0.47055758207399689</v>
      </c>
      <c r="AZ207" s="90">
        <f t="shared" si="221"/>
        <v>0.41190864600326266</v>
      </c>
      <c r="BA207" s="90">
        <f t="shared" ref="BA207:BB207" si="225">+BA211/BA203</f>
        <v>0.36733970952887002</v>
      </c>
      <c r="BB207" s="91">
        <f t="shared" si="225"/>
        <v>0.38036809815950923</v>
      </c>
      <c r="BC207" s="141">
        <f t="shared" ref="BC207:BD207" si="226">+BC211/BC203</f>
        <v>0.42443621676203297</v>
      </c>
      <c r="BD207" s="142">
        <f t="shared" si="226"/>
        <v>0.40684830633284241</v>
      </c>
      <c r="BE207" s="142">
        <f t="shared" ref="BE207:BF207" si="227">+BE211/BE203</f>
        <v>0.42531645569620252</v>
      </c>
      <c r="BF207" s="143">
        <f t="shared" si="227"/>
        <v>0.39787610619469027</v>
      </c>
    </row>
    <row r="208" spans="2:66" x14ac:dyDescent="0.25">
      <c r="B208" t="s">
        <v>58</v>
      </c>
      <c r="C208" s="44">
        <f t="shared" si="221"/>
        <v>6.266062383364436</v>
      </c>
      <c r="D208" s="44">
        <f t="shared" si="221"/>
        <v>6.1290720631786773</v>
      </c>
      <c r="E208" s="44">
        <f t="shared" si="221"/>
        <v>6.1850807485260191</v>
      </c>
      <c r="F208" s="44">
        <f t="shared" si="221"/>
        <v>6.3652082787529469</v>
      </c>
      <c r="G208" s="44">
        <f t="shared" si="221"/>
        <v>5.7272727272727275</v>
      </c>
      <c r="H208" s="44">
        <f t="shared" si="221"/>
        <v>5.4841328413284129</v>
      </c>
      <c r="I208" s="44">
        <f t="shared" si="221"/>
        <v>5.2213560122844322</v>
      </c>
      <c r="J208" s="44">
        <f t="shared" si="221"/>
        <v>5.1309073724007561</v>
      </c>
      <c r="K208" s="44">
        <f t="shared" si="221"/>
        <v>4.9882352941176471</v>
      </c>
      <c r="L208" s="44">
        <f t="shared" si="221"/>
        <v>5.348734332759892</v>
      </c>
      <c r="M208" s="44">
        <f t="shared" si="221"/>
        <v>5.4734858004523748</v>
      </c>
      <c r="N208" s="44">
        <f t="shared" si="221"/>
        <v>5.6259656117617745</v>
      </c>
      <c r="O208" s="44">
        <f t="shared" si="221"/>
        <v>5.555109214160181</v>
      </c>
      <c r="P208" s="44">
        <f t="shared" si="221"/>
        <v>6.0073136427566807</v>
      </c>
      <c r="Q208" s="44">
        <f t="shared" si="221"/>
        <v>6.059939759036145</v>
      </c>
      <c r="R208" s="44">
        <f t="shared" si="221"/>
        <v>6.0861150070126229</v>
      </c>
      <c r="S208" s="44">
        <f t="shared" si="221"/>
        <v>5.6083682008368205</v>
      </c>
      <c r="T208" s="44">
        <f t="shared" si="221"/>
        <v>5.7562257885998891</v>
      </c>
      <c r="U208" s="44">
        <f t="shared" si="221"/>
        <v>5.4889915737972279</v>
      </c>
      <c r="V208" s="44">
        <f t="shared" si="221"/>
        <v>5.4296048970506403</v>
      </c>
      <c r="W208" s="44">
        <f t="shared" si="221"/>
        <v>5.4641475751264501</v>
      </c>
      <c r="X208" s="44">
        <f t="shared" si="221"/>
        <v>5.572592377073029</v>
      </c>
      <c r="Y208" s="44">
        <f t="shared" si="221"/>
        <v>5.5609188717650477</v>
      </c>
      <c r="Z208" s="44">
        <f t="shared" si="221"/>
        <v>5.4645199761478835</v>
      </c>
      <c r="AA208" s="44">
        <f t="shared" si="221"/>
        <v>5.0276816608996544</v>
      </c>
      <c r="AB208" s="44">
        <f t="shared" si="221"/>
        <v>4.6281015579919211</v>
      </c>
      <c r="AC208" s="44">
        <f t="shared" si="221"/>
        <v>4.3842887473460719</v>
      </c>
      <c r="AD208" s="44">
        <f t="shared" si="221"/>
        <v>4.4423440453686203</v>
      </c>
      <c r="AE208" s="44">
        <f t="shared" si="221"/>
        <v>5.1096322241681262</v>
      </c>
      <c r="AF208" s="44">
        <f t="shared" si="221"/>
        <v>4.6338644173695718</v>
      </c>
      <c r="AG208" s="44">
        <f t="shared" si="221"/>
        <v>4.2568208778173187</v>
      </c>
      <c r="AH208" s="44">
        <f t="shared" si="221"/>
        <v>4.0808609656777195</v>
      </c>
      <c r="AI208" s="44">
        <f t="shared" si="221"/>
        <v>3.3257287705956906</v>
      </c>
      <c r="AJ208" s="44">
        <f t="shared" si="221"/>
        <v>3.7508650519031144</v>
      </c>
      <c r="AK208" s="44">
        <f t="shared" si="221"/>
        <v>3.7205387205387206</v>
      </c>
      <c r="AL208" s="44">
        <f t="shared" si="221"/>
        <v>3.5859836757669576</v>
      </c>
      <c r="AM208" s="44">
        <f t="shared" si="221"/>
        <v>3.045613015688553</v>
      </c>
      <c r="AN208" s="44">
        <f t="shared" si="221"/>
        <v>3.0992469069392148</v>
      </c>
      <c r="AO208" s="44">
        <f t="shared" si="221"/>
        <v>3.0561555075593954</v>
      </c>
      <c r="AP208" s="44">
        <f t="shared" si="221"/>
        <v>3.0864164904862581</v>
      </c>
      <c r="AQ208" s="44">
        <f t="shared" si="221"/>
        <v>2.9194975735084214</v>
      </c>
      <c r="AR208" s="44">
        <f t="shared" si="221"/>
        <v>3.3966565349544071</v>
      </c>
      <c r="AS208" s="44">
        <f t="shared" si="221"/>
        <v>3.2290502793296088</v>
      </c>
      <c r="AT208" s="44">
        <f t="shared" si="221"/>
        <v>2.9080459770114944</v>
      </c>
      <c r="AU208" s="44">
        <f t="shared" si="221"/>
        <v>3.097804391217565</v>
      </c>
      <c r="AV208" s="44">
        <f t="shared" si="221"/>
        <v>3.2364431486880467</v>
      </c>
      <c r="AW208" s="44">
        <f t="shared" si="221"/>
        <v>3.3409972299168973</v>
      </c>
      <c r="AX208" s="44">
        <f t="shared" si="221"/>
        <v>3.3538289547233093</v>
      </c>
      <c r="AY208" s="89">
        <f t="shared" si="221"/>
        <v>3.004359197907585</v>
      </c>
      <c r="AZ208" s="90">
        <f t="shared" si="221"/>
        <v>2.7187931828650393</v>
      </c>
      <c r="BA208" s="90">
        <f t="shared" ref="BA208:BB208" si="228">+BA212/BA204</f>
        <v>2.6153236982775687</v>
      </c>
      <c r="BB208" s="91">
        <f t="shared" si="228"/>
        <v>2.6067394926865397</v>
      </c>
      <c r="BC208" s="141">
        <f t="shared" ref="BC208:BD208" si="229">+BC212/BC204</f>
        <v>2.0160328879753342</v>
      </c>
      <c r="BD208" s="142">
        <f t="shared" si="229"/>
        <v>2.5469488391206081</v>
      </c>
      <c r="BE208" s="142">
        <f t="shared" ref="BE208:BF208" si="230">+BE212/BE204</f>
        <v>2.5023510971786833</v>
      </c>
      <c r="BF208" s="143">
        <f t="shared" si="230"/>
        <v>2.5470646766169156</v>
      </c>
    </row>
    <row r="209" spans="2:72" x14ac:dyDescent="0.25">
      <c r="B209" s="8" t="s">
        <v>59</v>
      </c>
      <c r="AY209" s="81"/>
      <c r="AZ209" s="82"/>
      <c r="BA209" s="82"/>
      <c r="BB209" s="83"/>
      <c r="BC209" s="134"/>
      <c r="BD209" s="135"/>
      <c r="BE209" s="135"/>
      <c r="BF209" s="136"/>
    </row>
    <row r="210" spans="2:72" x14ac:dyDescent="0.25">
      <c r="B210" t="s">
        <v>54</v>
      </c>
      <c r="C210" s="6">
        <f t="shared" ref="C210:AY212" si="231">+C114+C63+C14</f>
        <v>21571</v>
      </c>
      <c r="D210" s="6">
        <f t="shared" si="231"/>
        <v>22851</v>
      </c>
      <c r="E210" s="6">
        <f t="shared" si="231"/>
        <v>22553</v>
      </c>
      <c r="F210" s="6">
        <f t="shared" si="231"/>
        <v>22518</v>
      </c>
      <c r="G210" s="6">
        <f t="shared" si="231"/>
        <v>21643</v>
      </c>
      <c r="H210" s="6">
        <f t="shared" si="231"/>
        <v>20715</v>
      </c>
      <c r="I210" s="6">
        <f t="shared" si="231"/>
        <v>20580</v>
      </c>
      <c r="J210" s="6">
        <f t="shared" si="231"/>
        <v>19763</v>
      </c>
      <c r="K210" s="6">
        <f t="shared" si="231"/>
        <v>19193</v>
      </c>
      <c r="L210" s="6">
        <f t="shared" si="231"/>
        <v>20160</v>
      </c>
      <c r="M210" s="6">
        <f t="shared" si="231"/>
        <v>20371</v>
      </c>
      <c r="N210" s="6">
        <f t="shared" si="231"/>
        <v>20946</v>
      </c>
      <c r="O210" s="6">
        <f t="shared" si="231"/>
        <v>20856</v>
      </c>
      <c r="P210" s="6">
        <f t="shared" si="231"/>
        <v>20090</v>
      </c>
      <c r="Q210" s="6">
        <f t="shared" si="231"/>
        <v>19009</v>
      </c>
      <c r="R210" s="6">
        <f t="shared" si="231"/>
        <v>20614</v>
      </c>
      <c r="S210" s="6">
        <f t="shared" si="231"/>
        <v>18449</v>
      </c>
      <c r="T210" s="6">
        <f t="shared" si="231"/>
        <v>19825</v>
      </c>
      <c r="U210" s="6">
        <f t="shared" si="231"/>
        <v>19287</v>
      </c>
      <c r="V210" s="6">
        <f t="shared" si="231"/>
        <v>18644</v>
      </c>
      <c r="W210" s="6">
        <f t="shared" si="231"/>
        <v>17585</v>
      </c>
      <c r="X210" s="6">
        <f t="shared" si="231"/>
        <v>18462</v>
      </c>
      <c r="Y210" s="6">
        <f t="shared" si="231"/>
        <v>18566</v>
      </c>
      <c r="Z210" s="6">
        <f t="shared" si="231"/>
        <v>17772</v>
      </c>
      <c r="AA210" s="6">
        <f t="shared" si="231"/>
        <v>13408</v>
      </c>
      <c r="AB210" s="6">
        <f t="shared" si="231"/>
        <v>15057</v>
      </c>
      <c r="AC210" s="6">
        <f t="shared" si="231"/>
        <v>13655</v>
      </c>
      <c r="AD210" s="6">
        <f t="shared" si="231"/>
        <v>13531</v>
      </c>
      <c r="AE210" s="6">
        <f t="shared" si="231"/>
        <v>13985</v>
      </c>
      <c r="AF210" s="6">
        <f t="shared" si="231"/>
        <v>13967</v>
      </c>
      <c r="AG210" s="6">
        <f t="shared" si="231"/>
        <v>13314</v>
      </c>
      <c r="AH210" s="6">
        <f t="shared" si="231"/>
        <v>13054</v>
      </c>
      <c r="AI210" s="6">
        <f t="shared" si="231"/>
        <v>9518</v>
      </c>
      <c r="AJ210" s="6">
        <f t="shared" si="231"/>
        <v>11867</v>
      </c>
      <c r="AK210" s="6">
        <f t="shared" si="231"/>
        <v>12147</v>
      </c>
      <c r="AL210" s="6">
        <f t="shared" si="231"/>
        <v>11786</v>
      </c>
      <c r="AM210" s="6">
        <f t="shared" si="231"/>
        <v>9330</v>
      </c>
      <c r="AN210" s="6">
        <f t="shared" si="231"/>
        <v>10511</v>
      </c>
      <c r="AO210" s="6">
        <f t="shared" si="231"/>
        <v>10136</v>
      </c>
      <c r="AP210" s="6">
        <f t="shared" si="231"/>
        <v>10441</v>
      </c>
      <c r="AQ210" s="6">
        <f t="shared" si="231"/>
        <v>8822</v>
      </c>
      <c r="AR210" s="6">
        <f t="shared" si="231"/>
        <v>10147</v>
      </c>
      <c r="AS210" s="6">
        <f t="shared" si="231"/>
        <v>8683</v>
      </c>
      <c r="AT210" s="6">
        <f t="shared" si="231"/>
        <v>6050</v>
      </c>
      <c r="AU210" s="6">
        <f t="shared" si="231"/>
        <v>8346</v>
      </c>
      <c r="AV210" s="6">
        <f t="shared" si="231"/>
        <v>10114</v>
      </c>
      <c r="AW210" s="6">
        <f t="shared" si="231"/>
        <v>11121</v>
      </c>
      <c r="AX210" s="6">
        <f t="shared" si="231"/>
        <v>11074</v>
      </c>
      <c r="AY210" s="59">
        <f t="shared" si="231"/>
        <v>9435</v>
      </c>
      <c r="AZ210" s="57">
        <f t="shared" ref="AZ210:BA212" si="232">+AZ114+AZ63+AZ14+AZ162</f>
        <v>10795</v>
      </c>
      <c r="BA210" s="57">
        <f t="shared" si="232"/>
        <v>12173</v>
      </c>
      <c r="BB210" s="58">
        <f t="shared" ref="BB210:BC210" si="233">+BB114+BB63+BB14+BB162</f>
        <v>12901</v>
      </c>
      <c r="BC210" s="108">
        <f t="shared" si="233"/>
        <v>8547</v>
      </c>
      <c r="BD210" s="106">
        <f t="shared" ref="BD210:BE210" si="234">+BD114+BD63+BD14+BD162</f>
        <v>11291</v>
      </c>
      <c r="BE210" s="106">
        <f t="shared" si="234"/>
        <v>11596</v>
      </c>
      <c r="BF210" s="107">
        <f t="shared" ref="BF210" si="235">+BF114+BF63+BF14+BF162</f>
        <v>11675</v>
      </c>
      <c r="BG210" s="6"/>
      <c r="BH210" s="6"/>
      <c r="BI210" s="6"/>
      <c r="BJ210" s="6"/>
      <c r="BK210" s="6"/>
      <c r="BL210" s="6"/>
      <c r="BM210" s="6"/>
      <c r="BN210" s="6"/>
    </row>
    <row r="211" spans="2:72" x14ac:dyDescent="0.25">
      <c r="B211" t="s">
        <v>55</v>
      </c>
      <c r="C211" s="6">
        <f t="shared" si="231"/>
        <v>1933</v>
      </c>
      <c r="D211" s="6">
        <f t="shared" si="231"/>
        <v>1984</v>
      </c>
      <c r="E211" s="6">
        <f t="shared" si="231"/>
        <v>1575</v>
      </c>
      <c r="F211" s="6">
        <f t="shared" si="231"/>
        <v>1778</v>
      </c>
      <c r="G211" s="6">
        <f t="shared" si="231"/>
        <v>2108</v>
      </c>
      <c r="H211" s="6">
        <f t="shared" si="231"/>
        <v>1578</v>
      </c>
      <c r="I211" s="6">
        <f t="shared" si="231"/>
        <v>1522</v>
      </c>
      <c r="J211" s="6">
        <f t="shared" si="231"/>
        <v>1951</v>
      </c>
      <c r="K211" s="6">
        <f t="shared" si="231"/>
        <v>2431</v>
      </c>
      <c r="L211" s="6">
        <f t="shared" si="231"/>
        <v>1604</v>
      </c>
      <c r="M211" s="6">
        <f t="shared" si="231"/>
        <v>1408</v>
      </c>
      <c r="N211" s="6">
        <f t="shared" si="231"/>
        <v>1631</v>
      </c>
      <c r="O211" s="6">
        <f t="shared" si="231"/>
        <v>1270</v>
      </c>
      <c r="P211" s="6">
        <f t="shared" si="231"/>
        <v>1266</v>
      </c>
      <c r="Q211" s="6">
        <f t="shared" si="231"/>
        <v>1110</v>
      </c>
      <c r="R211" s="6">
        <f t="shared" si="231"/>
        <v>1083</v>
      </c>
      <c r="S211" s="6">
        <f t="shared" si="231"/>
        <v>1657</v>
      </c>
      <c r="T211" s="6">
        <f t="shared" si="231"/>
        <v>978</v>
      </c>
      <c r="U211" s="6">
        <f t="shared" si="231"/>
        <v>907</v>
      </c>
      <c r="V211" s="6">
        <f t="shared" si="231"/>
        <v>870</v>
      </c>
      <c r="W211" s="6">
        <f t="shared" si="231"/>
        <v>780</v>
      </c>
      <c r="X211" s="6">
        <f t="shared" si="231"/>
        <v>691</v>
      </c>
      <c r="Y211" s="6">
        <f t="shared" si="231"/>
        <v>558</v>
      </c>
      <c r="Z211" s="6">
        <f t="shared" si="231"/>
        <v>556</v>
      </c>
      <c r="AA211" s="6">
        <f t="shared" si="231"/>
        <v>1122</v>
      </c>
      <c r="AB211" s="6">
        <f t="shared" si="231"/>
        <v>984</v>
      </c>
      <c r="AC211" s="6">
        <f t="shared" si="231"/>
        <v>800</v>
      </c>
      <c r="AD211" s="6">
        <f t="shared" si="231"/>
        <v>569</v>
      </c>
      <c r="AE211" s="6">
        <f t="shared" si="231"/>
        <v>603</v>
      </c>
      <c r="AF211" s="6">
        <f t="shared" si="231"/>
        <v>866</v>
      </c>
      <c r="AG211" s="6">
        <f t="shared" si="231"/>
        <v>1040</v>
      </c>
      <c r="AH211" s="6">
        <f t="shared" si="231"/>
        <v>976</v>
      </c>
      <c r="AI211" s="6">
        <f t="shared" si="231"/>
        <v>978</v>
      </c>
      <c r="AJ211" s="6">
        <f t="shared" si="231"/>
        <v>1141</v>
      </c>
      <c r="AK211" s="6">
        <f t="shared" si="231"/>
        <v>1113</v>
      </c>
      <c r="AL211" s="6">
        <f t="shared" si="231"/>
        <v>955</v>
      </c>
      <c r="AM211" s="6">
        <f t="shared" si="231"/>
        <v>1153</v>
      </c>
      <c r="AN211" s="6">
        <f t="shared" si="231"/>
        <v>1012</v>
      </c>
      <c r="AO211" s="6">
        <f t="shared" si="231"/>
        <v>1184</v>
      </c>
      <c r="AP211" s="6">
        <f t="shared" si="231"/>
        <v>1238</v>
      </c>
      <c r="AQ211" s="6">
        <f t="shared" si="231"/>
        <v>1405</v>
      </c>
      <c r="AR211" s="6">
        <f t="shared" si="231"/>
        <v>1028</v>
      </c>
      <c r="AS211" s="6">
        <f t="shared" si="231"/>
        <v>1143</v>
      </c>
      <c r="AT211" s="6">
        <f t="shared" si="231"/>
        <v>781</v>
      </c>
      <c r="AU211" s="6">
        <f t="shared" si="231"/>
        <v>966</v>
      </c>
      <c r="AV211" s="6">
        <f t="shared" si="231"/>
        <v>987</v>
      </c>
      <c r="AW211" s="6">
        <f t="shared" si="231"/>
        <v>940</v>
      </c>
      <c r="AX211" s="6">
        <f t="shared" si="231"/>
        <v>926</v>
      </c>
      <c r="AY211" s="59">
        <f t="shared" si="231"/>
        <v>903</v>
      </c>
      <c r="AZ211" s="57">
        <f t="shared" si="232"/>
        <v>1010</v>
      </c>
      <c r="BA211" s="57">
        <f t="shared" si="232"/>
        <v>1037</v>
      </c>
      <c r="BB211" s="58">
        <f t="shared" ref="BB211:BC211" si="236">+BB115+BB64+BB15+BB163</f>
        <v>1178</v>
      </c>
      <c r="BC211" s="108">
        <f t="shared" si="236"/>
        <v>1261</v>
      </c>
      <c r="BD211" s="106">
        <f t="shared" ref="BD211:BE211" si="237">+BD115+BD64+BD15+BD163</f>
        <v>1105</v>
      </c>
      <c r="BE211" s="106">
        <f t="shared" si="237"/>
        <v>1176</v>
      </c>
      <c r="BF211" s="107">
        <f t="shared" ref="BF211" si="238">+BF115+BF64+BF15+BF163</f>
        <v>1124</v>
      </c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</row>
    <row r="212" spans="2:72" x14ac:dyDescent="0.25">
      <c r="B212" t="s">
        <v>56</v>
      </c>
      <c r="C212" s="6">
        <f t="shared" si="231"/>
        <v>23504</v>
      </c>
      <c r="D212" s="6">
        <f t="shared" si="231"/>
        <v>24835</v>
      </c>
      <c r="E212" s="6">
        <f t="shared" si="231"/>
        <v>24128</v>
      </c>
      <c r="F212" s="6">
        <f t="shared" si="231"/>
        <v>24296</v>
      </c>
      <c r="G212" s="6">
        <f t="shared" si="231"/>
        <v>23751</v>
      </c>
      <c r="H212" s="6">
        <f t="shared" si="231"/>
        <v>22293</v>
      </c>
      <c r="I212" s="6">
        <f t="shared" si="231"/>
        <v>22102</v>
      </c>
      <c r="J212" s="6">
        <f t="shared" si="231"/>
        <v>21714</v>
      </c>
      <c r="K212" s="6">
        <f t="shared" si="231"/>
        <v>21624</v>
      </c>
      <c r="L212" s="6">
        <f t="shared" si="231"/>
        <v>21764</v>
      </c>
      <c r="M212" s="6">
        <f t="shared" si="231"/>
        <v>21779</v>
      </c>
      <c r="N212" s="6">
        <f t="shared" si="231"/>
        <v>22577</v>
      </c>
      <c r="O212" s="6">
        <f t="shared" si="231"/>
        <v>22126</v>
      </c>
      <c r="P212" s="6">
        <f t="shared" si="231"/>
        <v>21356</v>
      </c>
      <c r="Q212" s="6">
        <f t="shared" si="231"/>
        <v>20119</v>
      </c>
      <c r="R212" s="6">
        <f t="shared" si="231"/>
        <v>21697</v>
      </c>
      <c r="S212" s="6">
        <f t="shared" si="231"/>
        <v>20106</v>
      </c>
      <c r="T212" s="6">
        <f t="shared" si="231"/>
        <v>20803</v>
      </c>
      <c r="U212" s="6">
        <f t="shared" si="231"/>
        <v>20194</v>
      </c>
      <c r="V212" s="6">
        <f t="shared" si="231"/>
        <v>19514</v>
      </c>
      <c r="W212" s="6">
        <f t="shared" si="231"/>
        <v>18365</v>
      </c>
      <c r="X212" s="6">
        <f t="shared" si="231"/>
        <v>19153</v>
      </c>
      <c r="Y212" s="6">
        <f t="shared" si="231"/>
        <v>19124</v>
      </c>
      <c r="Z212" s="6">
        <f t="shared" si="231"/>
        <v>18328</v>
      </c>
      <c r="AA212" s="6">
        <f t="shared" si="231"/>
        <v>14530</v>
      </c>
      <c r="AB212" s="6">
        <f t="shared" si="231"/>
        <v>16041</v>
      </c>
      <c r="AC212" s="6">
        <f t="shared" si="231"/>
        <v>14455</v>
      </c>
      <c r="AD212" s="6">
        <f t="shared" si="231"/>
        <v>14100</v>
      </c>
      <c r="AE212" s="6">
        <f t="shared" si="231"/>
        <v>14588</v>
      </c>
      <c r="AF212" s="6">
        <f t="shared" si="231"/>
        <v>14833</v>
      </c>
      <c r="AG212" s="6">
        <f t="shared" si="231"/>
        <v>14354</v>
      </c>
      <c r="AH212" s="6">
        <f t="shared" si="231"/>
        <v>14030</v>
      </c>
      <c r="AI212" s="6">
        <f t="shared" si="231"/>
        <v>10496</v>
      </c>
      <c r="AJ212" s="6">
        <f t="shared" si="231"/>
        <v>13008</v>
      </c>
      <c r="AK212" s="6">
        <f t="shared" si="231"/>
        <v>13260</v>
      </c>
      <c r="AL212" s="6">
        <f t="shared" si="231"/>
        <v>12741</v>
      </c>
      <c r="AM212" s="6">
        <f t="shared" si="231"/>
        <v>10483</v>
      </c>
      <c r="AN212" s="6">
        <f t="shared" si="231"/>
        <v>11523</v>
      </c>
      <c r="AO212" s="6">
        <f t="shared" si="231"/>
        <v>11320</v>
      </c>
      <c r="AP212" s="6">
        <f t="shared" si="231"/>
        <v>11679</v>
      </c>
      <c r="AQ212" s="6">
        <f t="shared" si="231"/>
        <v>10227</v>
      </c>
      <c r="AR212" s="6">
        <f t="shared" si="231"/>
        <v>11175</v>
      </c>
      <c r="AS212" s="6">
        <f t="shared" si="231"/>
        <v>9826</v>
      </c>
      <c r="AT212" s="6">
        <f t="shared" si="231"/>
        <v>6831</v>
      </c>
      <c r="AU212" s="6">
        <f t="shared" si="231"/>
        <v>9312</v>
      </c>
      <c r="AV212" s="6">
        <f t="shared" si="231"/>
        <v>11101</v>
      </c>
      <c r="AW212" s="6">
        <f t="shared" si="231"/>
        <v>12061</v>
      </c>
      <c r="AX212" s="6">
        <f t="shared" si="231"/>
        <v>12000</v>
      </c>
      <c r="AY212" s="59">
        <f t="shared" si="231"/>
        <v>10338</v>
      </c>
      <c r="AZ212" s="57">
        <f t="shared" si="232"/>
        <v>11805</v>
      </c>
      <c r="BA212" s="57">
        <f t="shared" si="232"/>
        <v>13210</v>
      </c>
      <c r="BB212" s="58">
        <f t="shared" ref="BB212:BC212" si="239">+BB116+BB65+BB16+BB164</f>
        <v>14079</v>
      </c>
      <c r="BC212" s="108">
        <f t="shared" si="239"/>
        <v>9808</v>
      </c>
      <c r="BD212" s="106">
        <f t="shared" ref="BD212:BE212" si="240">+BD116+BD65+BD16+BD164</f>
        <v>12396</v>
      </c>
      <c r="BE212" s="106">
        <f t="shared" si="240"/>
        <v>12772</v>
      </c>
      <c r="BF212" s="107">
        <f t="shared" ref="BF212" si="241">+BF116+BF65+BF16+BF164</f>
        <v>12799</v>
      </c>
      <c r="BG212" s="6"/>
      <c r="BH212" s="6"/>
      <c r="BI212" s="6"/>
      <c r="BJ212" s="6"/>
      <c r="BK212" s="6"/>
      <c r="BL212" s="6"/>
      <c r="BM212" s="6"/>
      <c r="BN212" s="6"/>
    </row>
    <row r="213" spans="2:72" x14ac:dyDescent="0.25">
      <c r="B213" s="8" t="s">
        <v>60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63"/>
      <c r="AZ213" s="64"/>
      <c r="BA213" s="64"/>
      <c r="BB213" s="65"/>
      <c r="BC213" s="144"/>
      <c r="BD213" s="113"/>
      <c r="BE213" s="113"/>
      <c r="BF213" s="114"/>
      <c r="BG213" s="6"/>
      <c r="BH213" s="6"/>
      <c r="BI213" s="6"/>
      <c r="BJ213" s="6"/>
      <c r="BK213" s="6"/>
      <c r="BL213" s="6"/>
      <c r="BM213" s="6"/>
      <c r="BN213" s="6"/>
    </row>
    <row r="214" spans="2:72" x14ac:dyDescent="0.25">
      <c r="B214" t="s">
        <v>54</v>
      </c>
      <c r="C214" s="6">
        <f t="shared" ref="C214:AY216" si="242">+((C118*C106)+(C67*C55)+(C18*C6))/(C202)</f>
        <v>534.64708233413273</v>
      </c>
      <c r="D214" s="6">
        <f t="shared" si="242"/>
        <v>512.13149047441163</v>
      </c>
      <c r="E214" s="6">
        <f t="shared" si="242"/>
        <v>512.22159887798034</v>
      </c>
      <c r="F214" s="6">
        <f t="shared" si="242"/>
        <v>508.37717799795013</v>
      </c>
      <c r="G214" s="6">
        <f t="shared" si="242"/>
        <v>500.49966216216217</v>
      </c>
      <c r="H214" s="6">
        <f t="shared" si="242"/>
        <v>513.43858455256895</v>
      </c>
      <c r="I214" s="6">
        <f t="shared" si="242"/>
        <v>537.30692741133578</v>
      </c>
      <c r="J214" s="6">
        <f t="shared" si="242"/>
        <v>564.65865552072444</v>
      </c>
      <c r="K214" s="6">
        <f t="shared" si="242"/>
        <v>597.46769825918761</v>
      </c>
      <c r="L214" s="6">
        <f t="shared" si="242"/>
        <v>577.33321046811648</v>
      </c>
      <c r="M214" s="6">
        <f t="shared" si="242"/>
        <v>557.27117462530498</v>
      </c>
      <c r="N214" s="6">
        <f t="shared" si="242"/>
        <v>556.68004150812862</v>
      </c>
      <c r="O214" s="6">
        <f t="shared" si="242"/>
        <v>598.16040955631399</v>
      </c>
      <c r="P214" s="6">
        <f t="shared" si="242"/>
        <v>590.76323529411764</v>
      </c>
      <c r="Q214" s="6">
        <f t="shared" si="242"/>
        <v>627.04831851565518</v>
      </c>
      <c r="R214" s="6">
        <f t="shared" si="242"/>
        <v>595.85457746478869</v>
      </c>
      <c r="S214" s="6">
        <f t="shared" si="242"/>
        <v>639.36831837690204</v>
      </c>
      <c r="T214" s="6">
        <f t="shared" si="242"/>
        <v>654.61199696279425</v>
      </c>
      <c r="U214" s="6">
        <f t="shared" si="242"/>
        <v>567.16999999999996</v>
      </c>
      <c r="V214" s="6">
        <f t="shared" si="242"/>
        <v>588.09801084990954</v>
      </c>
      <c r="W214" s="6">
        <f t="shared" si="242"/>
        <v>640.30718701700152</v>
      </c>
      <c r="X214" s="6">
        <f t="shared" si="242"/>
        <v>620.74258160237389</v>
      </c>
      <c r="Y214" s="6">
        <f t="shared" si="242"/>
        <v>640.37765567765564</v>
      </c>
      <c r="Z214" s="6">
        <f t="shared" si="242"/>
        <v>684.13551579748764</v>
      </c>
      <c r="AA214" s="6">
        <f t="shared" si="242"/>
        <v>929.74106175514623</v>
      </c>
      <c r="AB214" s="6">
        <f t="shared" si="242"/>
        <v>812.27223719676545</v>
      </c>
      <c r="AC214" s="6">
        <f t="shared" si="242"/>
        <v>974.37931034482756</v>
      </c>
      <c r="AD214" s="6">
        <f t="shared" si="242"/>
        <v>957.75913083680075</v>
      </c>
      <c r="AE214" s="6">
        <f t="shared" si="242"/>
        <v>1011.003431372549</v>
      </c>
      <c r="AF214" s="6">
        <f t="shared" si="242"/>
        <v>961.1414324569356</v>
      </c>
      <c r="AG214" s="6">
        <f t="shared" si="242"/>
        <v>1054.8899040657834</v>
      </c>
      <c r="AH214" s="6">
        <f t="shared" si="242"/>
        <v>1081.8356940509916</v>
      </c>
      <c r="AI214" s="6">
        <f t="shared" si="242"/>
        <v>1291.2559766763848</v>
      </c>
      <c r="AJ214" s="6">
        <f t="shared" si="242"/>
        <v>1098.592887225082</v>
      </c>
      <c r="AK214" s="6">
        <f t="shared" si="242"/>
        <v>1185.5651750972763</v>
      </c>
      <c r="AL214" s="6">
        <f t="shared" si="242"/>
        <v>1164.2931547619048</v>
      </c>
      <c r="AM214" s="6">
        <f t="shared" si="242"/>
        <v>1327.6153362664991</v>
      </c>
      <c r="AN214" s="6">
        <f t="shared" si="242"/>
        <v>1233.2895148669797</v>
      </c>
      <c r="AO214" s="6">
        <f t="shared" si="242"/>
        <v>1364.6668552036199</v>
      </c>
      <c r="AP214" s="6">
        <f t="shared" si="242"/>
        <v>1211.2442788717403</v>
      </c>
      <c r="AQ214" s="6">
        <f t="shared" si="242"/>
        <v>1559.0843688685416</v>
      </c>
      <c r="AR214" s="6">
        <f t="shared" si="242"/>
        <v>1558.3769278223319</v>
      </c>
      <c r="AS214" s="6">
        <f t="shared" si="242"/>
        <v>1877.4919860627178</v>
      </c>
      <c r="AT214" s="6">
        <f t="shared" si="242"/>
        <v>2045.3304867634502</v>
      </c>
      <c r="AU214" s="6">
        <f t="shared" si="242"/>
        <v>1910.3697056712133</v>
      </c>
      <c r="AV214" s="6">
        <f t="shared" si="242"/>
        <v>1620.4792518994741</v>
      </c>
      <c r="AW214" s="6">
        <f t="shared" si="242"/>
        <v>1611.4985994397759</v>
      </c>
      <c r="AX214" s="6">
        <f t="shared" si="242"/>
        <v>1459.8757210277925</v>
      </c>
      <c r="AY214" s="59">
        <f t="shared" si="242"/>
        <v>1768.5978975032851</v>
      </c>
      <c r="AZ214" s="57">
        <f t="shared" ref="AZ214:BA216" si="243">+((AZ118*AZ106)+(AZ67*AZ55)+(AZ18*AZ6)+(AZ154*AZ166))/(AZ202)</f>
        <v>1631.1375661375662</v>
      </c>
      <c r="BA214" s="57">
        <f>+((BA118*BA106)+(BA67*BA55)+(BA18*BA6)+(BA154*BA166))/(BA202)+2</f>
        <v>1652.3801615798923</v>
      </c>
      <c r="BB214" s="58">
        <f t="shared" ref="BB214" si="244">+((BB118*BB106)+(BB67*BB55)+(BB18*BB6)+(BB154*BB166))/(BB202)</f>
        <v>1554.2200520833333</v>
      </c>
      <c r="BC214" s="108">
        <f>+((BC118*BC106)+(BC67*BC55)+(BC18*BC6)+(BC154*BC166))/(BC202)+1</f>
        <v>1798.441393875396</v>
      </c>
      <c r="BD214" s="106">
        <f>+((BD118*BD106)+(BD67*BD55)+(BD18*BD6)+(BD154*BD166))/(BD202)</f>
        <v>1746.1910739191073</v>
      </c>
      <c r="BE214" s="106">
        <f>+((BE118*BE106)+(BE67*BE55)+(BE18*BE6)+(BE154*BE166))/(BE202)</f>
        <v>1728.610517315092</v>
      </c>
      <c r="BF214" s="107">
        <f>+((BF118*BF106)+(BF67*BF55)+(BF18*BF6)+(BF154*BF166))/(BF202)</f>
        <v>1698.5718181818181</v>
      </c>
      <c r="BG214" s="6"/>
      <c r="BH214" s="6"/>
      <c r="BI214" s="6"/>
      <c r="BJ214" s="6"/>
      <c r="BK214" s="6"/>
      <c r="BL214" s="6"/>
      <c r="BM214" s="6"/>
      <c r="BN214" s="6"/>
    </row>
    <row r="215" spans="2:72" x14ac:dyDescent="0.25">
      <c r="B215" t="s">
        <v>55</v>
      </c>
      <c r="C215" s="6">
        <f t="shared" si="242"/>
        <v>50.685348278622897</v>
      </c>
      <c r="D215" s="6">
        <f t="shared" si="242"/>
        <v>47.57090909090909</v>
      </c>
      <c r="E215" s="6">
        <f t="shared" si="242"/>
        <v>54.005719733079125</v>
      </c>
      <c r="F215" s="6">
        <f t="shared" si="242"/>
        <v>69.196629213483149</v>
      </c>
      <c r="G215" s="6">
        <f t="shared" si="242"/>
        <v>61.901432181971359</v>
      </c>
      <c r="H215" s="6">
        <f t="shared" si="242"/>
        <v>54.02841918294849</v>
      </c>
      <c r="I215" s="6">
        <f t="shared" si="242"/>
        <v>53.72861842105263</v>
      </c>
      <c r="J215" s="6">
        <f t="shared" si="242"/>
        <v>58.310066127847172</v>
      </c>
      <c r="K215" s="6">
        <f t="shared" si="242"/>
        <v>56.725714285714282</v>
      </c>
      <c r="L215" s="6">
        <f t="shared" si="242"/>
        <v>63.791297935103245</v>
      </c>
      <c r="M215" s="6">
        <f t="shared" si="242"/>
        <v>58.143243243243241</v>
      </c>
      <c r="N215" s="6">
        <f t="shared" si="242"/>
        <v>69.569518716577534</v>
      </c>
      <c r="O215" s="6">
        <f t="shared" si="242"/>
        <v>52.667904903417536</v>
      </c>
      <c r="P215" s="6">
        <f t="shared" si="242"/>
        <v>63.856287425149702</v>
      </c>
      <c r="Q215" s="6">
        <f t="shared" si="242"/>
        <v>68.294679399727144</v>
      </c>
      <c r="R215" s="6">
        <f t="shared" si="242"/>
        <v>56.020689655172411</v>
      </c>
      <c r="S215" s="6">
        <f t="shared" si="242"/>
        <v>64.816046966731903</v>
      </c>
      <c r="T215" s="6">
        <f t="shared" si="242"/>
        <v>52.240816326530613</v>
      </c>
      <c r="U215" s="6">
        <f t="shared" si="242"/>
        <v>64.433447098976103</v>
      </c>
      <c r="V215" s="6">
        <f t="shared" si="242"/>
        <v>67.355850422195417</v>
      </c>
      <c r="W215" s="6">
        <f t="shared" si="242"/>
        <v>67.30271668822769</v>
      </c>
      <c r="X215" s="6">
        <f t="shared" si="242"/>
        <v>68.295546558704459</v>
      </c>
      <c r="Y215" s="6">
        <f t="shared" si="242"/>
        <v>72.857545839210161</v>
      </c>
      <c r="Z215" s="6">
        <f t="shared" si="242"/>
        <v>76.280605226960105</v>
      </c>
      <c r="AA215" s="6">
        <f t="shared" si="242"/>
        <v>79.677203065134094</v>
      </c>
      <c r="AB215" s="6">
        <f t="shared" si="242"/>
        <v>71.028225806451616</v>
      </c>
      <c r="AC215" s="6">
        <f t="shared" si="242"/>
        <v>86.237288135593218</v>
      </c>
      <c r="AD215" s="6">
        <f t="shared" si="242"/>
        <v>80.112759643916917</v>
      </c>
      <c r="AE215" s="6">
        <f t="shared" si="242"/>
        <v>92.820858895705527</v>
      </c>
      <c r="AF215" s="6">
        <f t="shared" si="242"/>
        <v>76.320603015075378</v>
      </c>
      <c r="AG215" s="6">
        <f t="shared" si="242"/>
        <v>68.438715131022818</v>
      </c>
      <c r="AH215" s="6">
        <f t="shared" si="242"/>
        <v>64.877272727272725</v>
      </c>
      <c r="AI215" s="6">
        <f t="shared" si="242"/>
        <v>63.143650242886885</v>
      </c>
      <c r="AJ215" s="6">
        <f t="shared" si="242"/>
        <v>81.544703230653639</v>
      </c>
      <c r="AK215" s="6">
        <f t="shared" si="242"/>
        <v>91.57692307692308</v>
      </c>
      <c r="AL215" s="6">
        <f t="shared" si="242"/>
        <v>78.169811320754718</v>
      </c>
      <c r="AM215" s="6">
        <f t="shared" si="242"/>
        <v>85.401404646137223</v>
      </c>
      <c r="AN215" s="6">
        <f t="shared" si="242"/>
        <v>98.220988339811214</v>
      </c>
      <c r="AO215" s="6">
        <f t="shared" si="242"/>
        <v>87.025826446280988</v>
      </c>
      <c r="AP215" s="6">
        <f t="shared" si="242"/>
        <v>101.98320209973754</v>
      </c>
      <c r="AQ215" s="6">
        <f t="shared" si="242"/>
        <v>110.14792299898683</v>
      </c>
      <c r="AR215" s="6">
        <f t="shared" si="242"/>
        <v>132.07729179149192</v>
      </c>
      <c r="AS215" s="6">
        <f t="shared" si="242"/>
        <v>149.54850746268656</v>
      </c>
      <c r="AT215" s="6">
        <f t="shared" si="242"/>
        <v>165.94821731748726</v>
      </c>
      <c r="AU215" s="6">
        <f t="shared" si="242"/>
        <v>123.21140731556106</v>
      </c>
      <c r="AV215" s="6">
        <f t="shared" si="242"/>
        <v>150.48225712623619</v>
      </c>
      <c r="AW215" s="6">
        <f t="shared" si="242"/>
        <v>140.2986301369863</v>
      </c>
      <c r="AX215" s="6">
        <f t="shared" si="242"/>
        <v>137.06822262118493</v>
      </c>
      <c r="AY215" s="59">
        <f t="shared" si="242"/>
        <v>132.46117769671704</v>
      </c>
      <c r="AZ215" s="57">
        <f t="shared" si="243"/>
        <v>126.90456769983687</v>
      </c>
      <c r="BA215" s="57">
        <f>+((BA119*BA107)+(BA68*BA56)+(BA19*BA7)+(BA155*BA167))/(BA203)-2</f>
        <v>132.66099893730075</v>
      </c>
      <c r="BB215" s="58">
        <f t="shared" ref="BB215:BC215" si="245">+((BB119*BB107)+(BB68*BB56)+(BB19*BB7)+(BB155*BB167))/(BB203)</f>
        <v>107.7885050048434</v>
      </c>
      <c r="BC215" s="108">
        <f t="shared" si="245"/>
        <v>120.51363177381353</v>
      </c>
      <c r="BD215" s="106">
        <f t="shared" ref="BD215:BE215" si="246">+((BD119*BD107)+(BD68*BD56)+(BD19*BD7)+(BD155*BD167))/(BD203)</f>
        <v>132.74779086892488</v>
      </c>
      <c r="BE215" s="106">
        <f t="shared" si="246"/>
        <v>134.07341772151898</v>
      </c>
      <c r="BF215" s="107">
        <f t="shared" ref="BF215" si="247">+((BF119*BF107)+(BF68*BF56)+(BF19*BF7)+(BF155*BF167))/(BF203)</f>
        <v>123.69734513274337</v>
      </c>
      <c r="BG215" s="6"/>
      <c r="BH215" s="6"/>
      <c r="BI215" s="6"/>
      <c r="BJ215" s="6"/>
      <c r="BK215" s="6"/>
      <c r="BL215" s="6"/>
      <c r="BM215" s="6"/>
      <c r="BN215" s="6"/>
    </row>
    <row r="216" spans="2:72" x14ac:dyDescent="0.25">
      <c r="B216" t="s">
        <v>56</v>
      </c>
      <c r="C216" s="6">
        <f t="shared" si="242"/>
        <v>369.65849106904824</v>
      </c>
      <c r="D216" s="6">
        <f t="shared" si="242"/>
        <v>350.98247778874628</v>
      </c>
      <c r="E216" s="6">
        <f t="shared" si="242"/>
        <v>389.00487054601382</v>
      </c>
      <c r="F216" s="6">
        <f t="shared" si="242"/>
        <v>405.97458737228192</v>
      </c>
      <c r="G216" s="6">
        <f t="shared" si="242"/>
        <v>374.95924764890282</v>
      </c>
      <c r="H216" s="6">
        <f t="shared" si="242"/>
        <v>386.6</v>
      </c>
      <c r="I216" s="6">
        <f t="shared" si="242"/>
        <v>398.68556579258211</v>
      </c>
      <c r="J216" s="6">
        <f t="shared" si="242"/>
        <v>401.48983931947072</v>
      </c>
      <c r="K216" s="6">
        <f t="shared" si="242"/>
        <v>379.17508650519034</v>
      </c>
      <c r="L216" s="6">
        <f t="shared" si="242"/>
        <v>406.49569918898993</v>
      </c>
      <c r="M216" s="6">
        <f t="shared" si="242"/>
        <v>418.03216888665492</v>
      </c>
      <c r="N216" s="6">
        <f t="shared" si="242"/>
        <v>420.21629703463742</v>
      </c>
      <c r="O216" s="6">
        <f t="shared" si="242"/>
        <v>413.81872960080341</v>
      </c>
      <c r="P216" s="6">
        <f t="shared" si="242"/>
        <v>467.00309423347397</v>
      </c>
      <c r="Q216" s="6">
        <f t="shared" si="242"/>
        <v>503.19879518072287</v>
      </c>
      <c r="R216" s="6">
        <f t="shared" si="242"/>
        <v>485.80420757363254</v>
      </c>
      <c r="S216" s="6">
        <f t="shared" si="242"/>
        <v>475.57684797768479</v>
      </c>
      <c r="T216" s="6">
        <f t="shared" si="242"/>
        <v>491.26840066408414</v>
      </c>
      <c r="U216" s="6">
        <f t="shared" si="242"/>
        <v>446.78472410981243</v>
      </c>
      <c r="V216" s="6">
        <f t="shared" si="242"/>
        <v>467.98247078464107</v>
      </c>
      <c r="W216" s="6">
        <f t="shared" si="242"/>
        <v>508.52127343052661</v>
      </c>
      <c r="X216" s="6">
        <f t="shared" si="242"/>
        <v>501.1600232761129</v>
      </c>
      <c r="Y216" s="6">
        <f t="shared" si="242"/>
        <v>523.37510904332657</v>
      </c>
      <c r="Z216" s="6">
        <f t="shared" si="242"/>
        <v>552.81991651759097</v>
      </c>
      <c r="AA216" s="6">
        <f t="shared" si="242"/>
        <v>622.65916955017303</v>
      </c>
      <c r="AB216" s="6">
        <f t="shared" si="242"/>
        <v>547.0839584535488</v>
      </c>
      <c r="AC216" s="6">
        <f t="shared" si="242"/>
        <v>656.04640582347588</v>
      </c>
      <c r="AD216" s="6">
        <f t="shared" si="242"/>
        <v>678.20636420919971</v>
      </c>
      <c r="AE216" s="6">
        <f t="shared" si="242"/>
        <v>748.89527145359023</v>
      </c>
      <c r="AF216" s="6">
        <f t="shared" si="242"/>
        <v>686.10340518587941</v>
      </c>
      <c r="AG216" s="6">
        <f t="shared" si="242"/>
        <v>708.81287069988139</v>
      </c>
      <c r="AH216" s="6">
        <f t="shared" si="242"/>
        <v>691.38045375218155</v>
      </c>
      <c r="AI216" s="6">
        <f t="shared" si="242"/>
        <v>730.74144486692012</v>
      </c>
      <c r="AJ216" s="6">
        <f t="shared" si="242"/>
        <v>708.25519031141869</v>
      </c>
      <c r="AK216" s="6">
        <f t="shared" si="242"/>
        <v>722.41386083052748</v>
      </c>
      <c r="AL216" s="6">
        <f t="shared" si="242"/>
        <v>694.73402758232476</v>
      </c>
      <c r="AM216" s="6">
        <f t="shared" si="242"/>
        <v>659.59151656013944</v>
      </c>
      <c r="AN216" s="6">
        <f t="shared" si="242"/>
        <v>683.57288864981172</v>
      </c>
      <c r="AO216" s="6">
        <f t="shared" si="242"/>
        <v>696.44627429805621</v>
      </c>
      <c r="AP216" s="6">
        <f t="shared" si="242"/>
        <v>652.80285412262151</v>
      </c>
      <c r="AQ216" s="6">
        <f t="shared" si="242"/>
        <v>742.5840707964602</v>
      </c>
      <c r="AR216" s="6">
        <f t="shared" si="242"/>
        <v>834.82249240121575</v>
      </c>
      <c r="AS216" s="6">
        <f t="shared" si="242"/>
        <v>965.1130463358528</v>
      </c>
      <c r="AT216" s="6">
        <f t="shared" si="242"/>
        <v>1102.83908045977</v>
      </c>
      <c r="AU216" s="6">
        <f t="shared" si="242"/>
        <v>951.3922155688623</v>
      </c>
      <c r="AV216" s="6">
        <f t="shared" si="242"/>
        <v>883.76647230320702</v>
      </c>
      <c r="AW216" s="6">
        <f t="shared" si="242"/>
        <v>868.05373961218834</v>
      </c>
      <c r="AX216" s="6">
        <f t="shared" si="242"/>
        <v>842.26411403018449</v>
      </c>
      <c r="AY216" s="59">
        <f t="shared" si="242"/>
        <v>855.88898575995347</v>
      </c>
      <c r="AZ216" s="57">
        <f t="shared" si="243"/>
        <v>781.80976508521417</v>
      </c>
      <c r="BA216" s="57">
        <f t="shared" si="243"/>
        <v>802.9570382102554</v>
      </c>
      <c r="BB216" s="58">
        <f>+((BB120*BB108)+(BB69*BB57)+(BB20*BB8)+(BB156*BB168))/(BB204)+1</f>
        <v>725.39677837437512</v>
      </c>
      <c r="BC216" s="108">
        <f>+((BC120*BC108)+(BC69*BC57)+(BC20*BC8)+(BC156*BC168))/(BC204)+1</f>
        <v>774.46125385405958</v>
      </c>
      <c r="BD216" s="106">
        <f>+((BD120*BD108)+(BD69*BD57)+(BD20*BD8)+(BD156*BD168))/(BD204)</f>
        <v>845.81877953564822</v>
      </c>
      <c r="BE216" s="106">
        <f>+((BE120*BE108)+(BE69*BE57)+(BE20*BE8)+(BE156*BE168))/(BE204)</f>
        <v>864.79878526645768</v>
      </c>
      <c r="BF216" s="107">
        <f>+((BF120*BF108)+(BF69*BF57)+(BF20*BF8)+(BF156*BF168))/(BF204)</f>
        <v>813.19462686567169</v>
      </c>
      <c r="BG216" s="6"/>
      <c r="BH216" s="6"/>
      <c r="BI216" s="6"/>
      <c r="BJ216" s="6"/>
      <c r="BK216" s="6"/>
      <c r="BL216" s="6"/>
      <c r="BM216" s="6"/>
      <c r="BN216" s="6"/>
    </row>
    <row r="217" spans="2:72" x14ac:dyDescent="0.25">
      <c r="B217" s="8" t="s">
        <v>62</v>
      </c>
      <c r="AY217" s="81"/>
      <c r="AZ217" s="82"/>
      <c r="BA217" s="82"/>
      <c r="BB217" s="83"/>
      <c r="BC217" s="134"/>
      <c r="BD217" s="135"/>
      <c r="BE217" s="135"/>
      <c r="BF217" s="136"/>
    </row>
    <row r="218" spans="2:72" x14ac:dyDescent="0.25">
      <c r="B218" t="s">
        <v>63</v>
      </c>
      <c r="C218" s="11">
        <f t="shared" ref="C218:AY220" si="248">+C122+C71+C22</f>
        <v>0</v>
      </c>
      <c r="D218" s="11">
        <f t="shared" si="248"/>
        <v>0</v>
      </c>
      <c r="E218" s="11">
        <f t="shared" si="248"/>
        <v>0</v>
      </c>
      <c r="F218" s="11">
        <f t="shared" si="248"/>
        <v>0</v>
      </c>
      <c r="G218" s="11">
        <f t="shared" si="248"/>
        <v>0</v>
      </c>
      <c r="H218" s="11">
        <f t="shared" si="248"/>
        <v>0</v>
      </c>
      <c r="I218" s="11">
        <f t="shared" si="248"/>
        <v>0</v>
      </c>
      <c r="J218" s="11">
        <f t="shared" si="248"/>
        <v>0</v>
      </c>
      <c r="K218" s="11">
        <f t="shared" si="248"/>
        <v>0</v>
      </c>
      <c r="L218" s="11">
        <f t="shared" si="248"/>
        <v>0</v>
      </c>
      <c r="M218" s="11" t="e">
        <f t="shared" si="248"/>
        <v>#VALUE!</v>
      </c>
      <c r="N218" s="11">
        <f t="shared" si="248"/>
        <v>0</v>
      </c>
      <c r="O218" s="11">
        <f t="shared" si="248"/>
        <v>0</v>
      </c>
      <c r="P218" s="11">
        <f t="shared" si="248"/>
        <v>0</v>
      </c>
      <c r="Q218" s="11">
        <f t="shared" si="248"/>
        <v>0</v>
      </c>
      <c r="R218" s="11">
        <f t="shared" si="248"/>
        <v>0</v>
      </c>
      <c r="S218" s="11">
        <f t="shared" si="248"/>
        <v>0</v>
      </c>
      <c r="T218" s="11">
        <f t="shared" si="248"/>
        <v>0</v>
      </c>
      <c r="U218" s="11">
        <f t="shared" si="248"/>
        <v>233.2</v>
      </c>
      <c r="V218" s="11">
        <f t="shared" si="248"/>
        <v>246.1</v>
      </c>
      <c r="W218" s="11">
        <f t="shared" si="248"/>
        <v>241.9</v>
      </c>
      <c r="X218" s="11">
        <f t="shared" si="248"/>
        <v>235.9</v>
      </c>
      <c r="Y218" s="11">
        <f t="shared" si="248"/>
        <v>290.60000000000002</v>
      </c>
      <c r="Z218" s="11">
        <f t="shared" si="248"/>
        <v>289.8</v>
      </c>
      <c r="AA218" s="11">
        <f t="shared" si="248"/>
        <v>305.70000000000005</v>
      </c>
      <c r="AB218" s="11">
        <f t="shared" si="248"/>
        <v>315.2</v>
      </c>
      <c r="AC218" s="11">
        <f t="shared" si="248"/>
        <v>311.89999999999998</v>
      </c>
      <c r="AD218" s="11">
        <f t="shared" si="248"/>
        <v>300.69999999999993</v>
      </c>
      <c r="AE218" s="11">
        <f t="shared" si="248"/>
        <v>310.90000000000003</v>
      </c>
      <c r="AF218" s="11">
        <f t="shared" si="248"/>
        <v>369.4</v>
      </c>
      <c r="AG218" s="11">
        <f t="shared" si="248"/>
        <v>414</v>
      </c>
      <c r="AH218" s="11">
        <f t="shared" si="248"/>
        <v>422.5</v>
      </c>
      <c r="AI218" s="11">
        <f t="shared" si="248"/>
        <v>450</v>
      </c>
      <c r="AJ218" s="11">
        <f t="shared" si="248"/>
        <v>495.4</v>
      </c>
      <c r="AK218" s="11">
        <f t="shared" si="248"/>
        <v>493</v>
      </c>
      <c r="AL218" s="11">
        <f t="shared" si="248"/>
        <v>484.49999999999994</v>
      </c>
      <c r="AM218" s="11">
        <f t="shared" si="248"/>
        <v>473</v>
      </c>
      <c r="AN218" s="11">
        <f t="shared" si="248"/>
        <v>546.20000000000005</v>
      </c>
      <c r="AO218" s="11">
        <f t="shared" si="248"/>
        <v>567.09999999999991</v>
      </c>
      <c r="AP218" s="11">
        <f t="shared" si="248"/>
        <v>539.9</v>
      </c>
      <c r="AQ218" s="11">
        <f t="shared" si="248"/>
        <v>525.6</v>
      </c>
      <c r="AR218" s="11">
        <f t="shared" si="248"/>
        <v>599.20000000000005</v>
      </c>
      <c r="AS218" s="11">
        <f t="shared" si="248"/>
        <v>575.5</v>
      </c>
      <c r="AT218" s="11">
        <f t="shared" si="248"/>
        <v>427.6</v>
      </c>
      <c r="AU218" s="11">
        <f t="shared" si="248"/>
        <v>484.2</v>
      </c>
      <c r="AV218" s="11">
        <f t="shared" si="248"/>
        <v>479.3</v>
      </c>
      <c r="AW218" s="11">
        <f t="shared" si="248"/>
        <v>458.9</v>
      </c>
      <c r="AX218" s="11">
        <f t="shared" si="248"/>
        <v>460.6</v>
      </c>
      <c r="AY218" s="85">
        <f t="shared" si="248"/>
        <v>451.5</v>
      </c>
      <c r="AZ218" s="67">
        <f t="shared" ref="AZ218:BA220" si="249">+AZ122+AZ71+AZ22+AZ170</f>
        <v>522.69999999999993</v>
      </c>
      <c r="BA218" s="67">
        <f t="shared" si="249"/>
        <v>564.1</v>
      </c>
      <c r="BB218" s="68">
        <f t="shared" ref="BB218:BC220" si="250">+BB122+BB71+BB22+BB170</f>
        <v>588.19999999999993</v>
      </c>
      <c r="BC218" s="100">
        <f t="shared" si="250"/>
        <v>549.6</v>
      </c>
      <c r="BD218" s="101">
        <f t="shared" ref="BD218:BE218" si="251">+BD122+BD71+BD22+BD170</f>
        <v>568.5</v>
      </c>
      <c r="BE218" s="101">
        <f t="shared" si="251"/>
        <v>625.6</v>
      </c>
      <c r="BF218" s="102">
        <f t="shared" ref="BF218" si="252">+BF122+BF71+BF22+BF170</f>
        <v>561.20000000000005</v>
      </c>
      <c r="BG218" s="11"/>
      <c r="BH218" s="11"/>
      <c r="BI218" s="11"/>
      <c r="BJ218" s="11"/>
      <c r="BK218" s="11"/>
      <c r="BL218" s="11"/>
      <c r="BM218" s="11"/>
      <c r="BN218" s="11"/>
    </row>
    <row r="219" spans="2:72" x14ac:dyDescent="0.25">
      <c r="B219" t="s">
        <v>65</v>
      </c>
      <c r="C219" s="11">
        <f t="shared" si="248"/>
        <v>0</v>
      </c>
      <c r="D219" s="11">
        <f t="shared" si="248"/>
        <v>0</v>
      </c>
      <c r="E219" s="11">
        <f t="shared" si="248"/>
        <v>0</v>
      </c>
      <c r="F219" s="11">
        <f t="shared" si="248"/>
        <v>0</v>
      </c>
      <c r="G219" s="11">
        <f t="shared" si="248"/>
        <v>0</v>
      </c>
      <c r="H219" s="11">
        <f t="shared" si="248"/>
        <v>0</v>
      </c>
      <c r="I219" s="11">
        <f t="shared" si="248"/>
        <v>0</v>
      </c>
      <c r="J219" s="11">
        <f t="shared" si="248"/>
        <v>0</v>
      </c>
      <c r="K219" s="11">
        <f t="shared" si="248"/>
        <v>0</v>
      </c>
      <c r="L219" s="11">
        <f t="shared" si="248"/>
        <v>0</v>
      </c>
      <c r="M219" s="11">
        <f t="shared" si="248"/>
        <v>0</v>
      </c>
      <c r="N219" s="11">
        <f t="shared" si="248"/>
        <v>0</v>
      </c>
      <c r="O219" s="11">
        <f t="shared" si="248"/>
        <v>0</v>
      </c>
      <c r="P219" s="11">
        <f t="shared" si="248"/>
        <v>0</v>
      </c>
      <c r="Q219" s="11">
        <f t="shared" si="248"/>
        <v>0</v>
      </c>
      <c r="R219" s="11" t="e">
        <f t="shared" si="248"/>
        <v>#VALUE!</v>
      </c>
      <c r="S219" s="11">
        <f t="shared" si="248"/>
        <v>0</v>
      </c>
      <c r="T219" s="11">
        <f t="shared" si="248"/>
        <v>0</v>
      </c>
      <c r="U219" s="11">
        <f t="shared" si="248"/>
        <v>199.5</v>
      </c>
      <c r="V219" s="11">
        <f t="shared" si="248"/>
        <v>278.10000000000002</v>
      </c>
      <c r="W219" s="11">
        <f t="shared" si="248"/>
        <v>270.5</v>
      </c>
      <c r="X219" s="11">
        <f t="shared" si="248"/>
        <v>478.4</v>
      </c>
      <c r="Y219" s="11">
        <f t="shared" si="248"/>
        <v>280</v>
      </c>
      <c r="Z219" s="11">
        <f t="shared" si="248"/>
        <v>345</v>
      </c>
      <c r="AA219" s="11">
        <f t="shared" si="248"/>
        <v>283</v>
      </c>
      <c r="AB219" s="11">
        <f t="shared" si="248"/>
        <v>381.4</v>
      </c>
      <c r="AC219" s="11">
        <f t="shared" si="248"/>
        <v>287.5</v>
      </c>
      <c r="AD219" s="11">
        <f t="shared" si="248"/>
        <v>350.4</v>
      </c>
      <c r="AE219" s="11">
        <f t="shared" si="248"/>
        <v>313.5</v>
      </c>
      <c r="AF219" s="11">
        <f t="shared" si="248"/>
        <v>378.09999999999997</v>
      </c>
      <c r="AG219" s="11">
        <f t="shared" si="248"/>
        <v>252.1</v>
      </c>
      <c r="AH219" s="11">
        <f t="shared" si="248"/>
        <v>287.8</v>
      </c>
      <c r="AI219" s="11">
        <f t="shared" si="248"/>
        <v>231.20000000000002</v>
      </c>
      <c r="AJ219" s="11">
        <f t="shared" si="248"/>
        <v>341.6</v>
      </c>
      <c r="AK219" s="11">
        <f t="shared" si="248"/>
        <v>331.4</v>
      </c>
      <c r="AL219" s="11">
        <f t="shared" si="248"/>
        <v>261.5</v>
      </c>
      <c r="AM219" s="11">
        <f t="shared" si="248"/>
        <v>110.7</v>
      </c>
      <c r="AN219" s="11">
        <f t="shared" si="248"/>
        <v>151</v>
      </c>
      <c r="AO219" s="11">
        <f t="shared" si="248"/>
        <v>206.8</v>
      </c>
      <c r="AP219" s="11">
        <f t="shared" si="248"/>
        <v>316.70000000000005</v>
      </c>
      <c r="AQ219" s="11">
        <f t="shared" si="248"/>
        <v>136.70000000000002</v>
      </c>
      <c r="AR219" s="11">
        <f t="shared" si="248"/>
        <v>221.5</v>
      </c>
      <c r="AS219" s="11">
        <f t="shared" si="248"/>
        <v>271</v>
      </c>
      <c r="AT219" s="11">
        <f t="shared" si="248"/>
        <v>327.3</v>
      </c>
      <c r="AU219" s="11">
        <f t="shared" si="248"/>
        <v>198.2</v>
      </c>
      <c r="AV219" s="11">
        <f t="shared" si="248"/>
        <v>259.59999999999997</v>
      </c>
      <c r="AW219" s="11">
        <f t="shared" si="248"/>
        <v>241.3</v>
      </c>
      <c r="AX219" s="11">
        <f t="shared" si="248"/>
        <v>281.5</v>
      </c>
      <c r="AY219" s="85">
        <f t="shared" si="248"/>
        <v>164.10000000000002</v>
      </c>
      <c r="AZ219" s="67">
        <f t="shared" si="249"/>
        <v>201.20000000000002</v>
      </c>
      <c r="BA219" s="67">
        <f t="shared" si="249"/>
        <v>232.89999999999998</v>
      </c>
      <c r="BB219" s="68">
        <f t="shared" si="250"/>
        <v>376.40000000000003</v>
      </c>
      <c r="BC219" s="100">
        <f t="shared" si="250"/>
        <v>111.00000000000001</v>
      </c>
      <c r="BD219" s="101">
        <f t="shared" ref="BD219:BE219" si="253">+BD123+BD72+BD23+BD171</f>
        <v>185.89999999999998</v>
      </c>
      <c r="BE219" s="101">
        <f t="shared" si="253"/>
        <v>137.70000000000002</v>
      </c>
      <c r="BF219" s="102">
        <f t="shared" ref="BF219" si="254">+BF123+BF72+BF23+BF171</f>
        <v>219.2</v>
      </c>
      <c r="BG219" s="11"/>
      <c r="BH219" s="11"/>
      <c r="BI219" s="11"/>
      <c r="BJ219" s="11"/>
      <c r="BK219" s="11"/>
      <c r="BL219" s="11"/>
      <c r="BM219" s="11"/>
      <c r="BN219" s="11"/>
    </row>
    <row r="220" spans="2:72" x14ac:dyDescent="0.25">
      <c r="B220" t="s">
        <v>67</v>
      </c>
      <c r="C220" s="11">
        <f t="shared" si="248"/>
        <v>0</v>
      </c>
      <c r="D220" s="11">
        <f t="shared" si="248"/>
        <v>0</v>
      </c>
      <c r="E220" s="11">
        <f t="shared" si="248"/>
        <v>0</v>
      </c>
      <c r="F220" s="11">
        <f t="shared" si="248"/>
        <v>0</v>
      </c>
      <c r="G220" s="11">
        <f t="shared" si="248"/>
        <v>0</v>
      </c>
      <c r="H220" s="11">
        <f t="shared" si="248"/>
        <v>0</v>
      </c>
      <c r="I220" s="11">
        <f t="shared" si="248"/>
        <v>0</v>
      </c>
      <c r="J220" s="11">
        <f t="shared" si="248"/>
        <v>0</v>
      </c>
      <c r="K220" s="11">
        <f t="shared" si="248"/>
        <v>0</v>
      </c>
      <c r="L220" s="11">
        <f t="shared" si="248"/>
        <v>0</v>
      </c>
      <c r="M220" s="11">
        <f t="shared" si="248"/>
        <v>0</v>
      </c>
      <c r="N220" s="11">
        <f t="shared" si="248"/>
        <v>0</v>
      </c>
      <c r="O220" s="11">
        <f t="shared" si="248"/>
        <v>0</v>
      </c>
      <c r="P220" s="11">
        <f t="shared" si="248"/>
        <v>0</v>
      </c>
      <c r="Q220" s="11">
        <f t="shared" si="248"/>
        <v>0</v>
      </c>
      <c r="R220" s="11">
        <f t="shared" si="248"/>
        <v>0</v>
      </c>
      <c r="S220" s="11">
        <f t="shared" si="248"/>
        <v>0</v>
      </c>
      <c r="T220" s="11">
        <f t="shared" si="248"/>
        <v>0</v>
      </c>
      <c r="U220" s="11">
        <f t="shared" si="248"/>
        <v>0</v>
      </c>
      <c r="V220" s="11">
        <f t="shared" si="248"/>
        <v>0</v>
      </c>
      <c r="W220" s="11">
        <f t="shared" si="248"/>
        <v>0</v>
      </c>
      <c r="X220" s="11">
        <f t="shared" si="248"/>
        <v>0</v>
      </c>
      <c r="Y220" s="11">
        <f t="shared" si="248"/>
        <v>0</v>
      </c>
      <c r="Z220" s="11">
        <f t="shared" si="248"/>
        <v>0</v>
      </c>
      <c r="AA220" s="11">
        <f t="shared" si="248"/>
        <v>0</v>
      </c>
      <c r="AB220" s="11">
        <f t="shared" si="248"/>
        <v>0</v>
      </c>
      <c r="AC220" s="11">
        <f t="shared" si="248"/>
        <v>0</v>
      </c>
      <c r="AD220" s="11">
        <f t="shared" si="248"/>
        <v>0</v>
      </c>
      <c r="AE220" s="11">
        <f t="shared" si="248"/>
        <v>0</v>
      </c>
      <c r="AF220" s="11">
        <f t="shared" si="248"/>
        <v>0</v>
      </c>
      <c r="AG220" s="11">
        <f t="shared" si="248"/>
        <v>0</v>
      </c>
      <c r="AH220" s="11">
        <f t="shared" si="248"/>
        <v>0</v>
      </c>
      <c r="AI220" s="11">
        <f t="shared" si="248"/>
        <v>0</v>
      </c>
      <c r="AJ220" s="11">
        <f t="shared" si="248"/>
        <v>0</v>
      </c>
      <c r="AK220" s="11">
        <f t="shared" si="248"/>
        <v>0</v>
      </c>
      <c r="AL220" s="11">
        <f t="shared" si="248"/>
        <v>0</v>
      </c>
      <c r="AM220" s="11">
        <f t="shared" si="248"/>
        <v>0</v>
      </c>
      <c r="AN220" s="11">
        <f t="shared" si="248"/>
        <v>0</v>
      </c>
      <c r="AO220" s="11">
        <f t="shared" si="248"/>
        <v>0</v>
      </c>
      <c r="AP220" s="11">
        <f t="shared" si="248"/>
        <v>0</v>
      </c>
      <c r="AQ220" s="11">
        <f t="shared" si="248"/>
        <v>0</v>
      </c>
      <c r="AR220" s="11">
        <f t="shared" si="248"/>
        <v>0</v>
      </c>
      <c r="AS220" s="11">
        <f t="shared" si="248"/>
        <v>0</v>
      </c>
      <c r="AT220" s="11">
        <f t="shared" si="248"/>
        <v>0</v>
      </c>
      <c r="AU220" s="11">
        <f t="shared" si="248"/>
        <v>0</v>
      </c>
      <c r="AV220" s="11">
        <f t="shared" si="248"/>
        <v>0</v>
      </c>
      <c r="AW220" s="11">
        <f t="shared" si="248"/>
        <v>0</v>
      </c>
      <c r="AX220" s="11">
        <f t="shared" si="248"/>
        <v>0</v>
      </c>
      <c r="AY220" s="85">
        <f t="shared" si="248"/>
        <v>0</v>
      </c>
      <c r="AZ220" s="67">
        <f t="shared" si="249"/>
        <v>0</v>
      </c>
      <c r="BA220" s="67">
        <v>25</v>
      </c>
      <c r="BB220" s="68">
        <f t="shared" si="250"/>
        <v>48.4</v>
      </c>
      <c r="BC220" s="100">
        <f t="shared" si="250"/>
        <v>0</v>
      </c>
      <c r="BD220" s="101">
        <f t="shared" ref="BD220:BE220" si="255">+BD124+BD73+BD24+BD172</f>
        <v>9.6999999999999993</v>
      </c>
      <c r="BE220" s="101">
        <f t="shared" si="255"/>
        <v>26.3</v>
      </c>
      <c r="BF220" s="102">
        <f t="shared" ref="BF220" si="256">+BF124+BF73+BF24+BF172</f>
        <v>63.300000000000004</v>
      </c>
      <c r="BG220" s="11"/>
      <c r="BH220" s="11"/>
      <c r="BI220" s="11"/>
      <c r="BJ220" s="11"/>
      <c r="BK220" s="11"/>
      <c r="BL220" s="11"/>
      <c r="BM220" s="11"/>
      <c r="BN220" s="11"/>
    </row>
    <row r="221" spans="2:72" x14ac:dyDescent="0.25">
      <c r="B221" t="s">
        <v>68</v>
      </c>
      <c r="C221" s="11">
        <f t="shared" ref="C221:T221" si="257">+C125+C74+C25</f>
        <v>202.29999999999998</v>
      </c>
      <c r="D221" s="11">
        <f t="shared" si="257"/>
        <v>301.7</v>
      </c>
      <c r="E221" s="11">
        <f t="shared" si="257"/>
        <v>299</v>
      </c>
      <c r="F221" s="11">
        <f t="shared" si="257"/>
        <v>342.8</v>
      </c>
      <c r="G221" s="11">
        <f t="shared" si="257"/>
        <v>301.2</v>
      </c>
      <c r="H221" s="11">
        <f t="shared" si="257"/>
        <v>423.1</v>
      </c>
      <c r="I221" s="11">
        <f t="shared" si="257"/>
        <v>288.60000000000002</v>
      </c>
      <c r="J221" s="11">
        <f t="shared" si="257"/>
        <v>251.89999999999998</v>
      </c>
      <c r="K221" s="11">
        <f t="shared" si="257"/>
        <v>152.69999999999999</v>
      </c>
      <c r="L221" s="11">
        <f t="shared" si="257"/>
        <v>184.60000000000002</v>
      </c>
      <c r="M221" s="11">
        <f t="shared" si="257"/>
        <v>147.79999999999998</v>
      </c>
      <c r="N221" s="11">
        <f t="shared" si="257"/>
        <v>163.10000000000002</v>
      </c>
      <c r="O221" s="11">
        <f t="shared" si="257"/>
        <v>150.19999999999999</v>
      </c>
      <c r="P221" s="11">
        <f t="shared" si="257"/>
        <v>174.5</v>
      </c>
      <c r="Q221" s="11">
        <f t="shared" si="257"/>
        <v>133.4</v>
      </c>
      <c r="R221" s="11">
        <f t="shared" si="257"/>
        <v>168.7</v>
      </c>
      <c r="S221" s="11">
        <f t="shared" si="257"/>
        <v>164.3</v>
      </c>
      <c r="T221" s="11">
        <f t="shared" si="257"/>
        <v>227.7</v>
      </c>
      <c r="U221" s="11">
        <f t="shared" ref="U221:BA221" si="258">+U220+U219+U218</f>
        <v>432.7</v>
      </c>
      <c r="V221" s="11">
        <f t="shared" si="258"/>
        <v>524.20000000000005</v>
      </c>
      <c r="W221" s="11">
        <f t="shared" si="258"/>
        <v>512.4</v>
      </c>
      <c r="X221" s="11">
        <f t="shared" si="258"/>
        <v>714.3</v>
      </c>
      <c r="Y221" s="11">
        <f t="shared" si="258"/>
        <v>570.6</v>
      </c>
      <c r="Z221" s="11">
        <f t="shared" si="258"/>
        <v>634.79999999999995</v>
      </c>
      <c r="AA221" s="11">
        <f t="shared" si="258"/>
        <v>588.70000000000005</v>
      </c>
      <c r="AB221" s="11">
        <f t="shared" si="258"/>
        <v>696.59999999999991</v>
      </c>
      <c r="AC221" s="11">
        <f t="shared" si="258"/>
        <v>599.4</v>
      </c>
      <c r="AD221" s="11">
        <f t="shared" si="258"/>
        <v>651.09999999999991</v>
      </c>
      <c r="AE221" s="11">
        <f t="shared" si="258"/>
        <v>624.40000000000009</v>
      </c>
      <c r="AF221" s="11">
        <f t="shared" si="258"/>
        <v>747.5</v>
      </c>
      <c r="AG221" s="11">
        <f t="shared" si="258"/>
        <v>666.1</v>
      </c>
      <c r="AH221" s="11">
        <f t="shared" si="258"/>
        <v>710.3</v>
      </c>
      <c r="AI221" s="11">
        <f t="shared" si="258"/>
        <v>681.2</v>
      </c>
      <c r="AJ221" s="11">
        <f t="shared" si="258"/>
        <v>837</v>
      </c>
      <c r="AK221" s="11">
        <f t="shared" si="258"/>
        <v>824.4</v>
      </c>
      <c r="AL221" s="11">
        <f t="shared" si="258"/>
        <v>746</v>
      </c>
      <c r="AM221" s="11">
        <f t="shared" si="258"/>
        <v>583.70000000000005</v>
      </c>
      <c r="AN221" s="11">
        <f t="shared" si="258"/>
        <v>697.2</v>
      </c>
      <c r="AO221" s="11">
        <f t="shared" si="258"/>
        <v>773.89999999999986</v>
      </c>
      <c r="AP221" s="11">
        <f t="shared" si="258"/>
        <v>856.6</v>
      </c>
      <c r="AQ221" s="11">
        <f t="shared" si="258"/>
        <v>662.30000000000007</v>
      </c>
      <c r="AR221" s="11">
        <f t="shared" si="258"/>
        <v>820.7</v>
      </c>
      <c r="AS221" s="11">
        <f t="shared" si="258"/>
        <v>846.5</v>
      </c>
      <c r="AT221" s="11">
        <f t="shared" si="258"/>
        <v>754.90000000000009</v>
      </c>
      <c r="AU221" s="11">
        <f t="shared" si="258"/>
        <v>682.4</v>
      </c>
      <c r="AV221" s="11">
        <f t="shared" si="258"/>
        <v>738.9</v>
      </c>
      <c r="AW221" s="11">
        <f t="shared" si="258"/>
        <v>700.2</v>
      </c>
      <c r="AX221" s="11">
        <f t="shared" si="258"/>
        <v>742.1</v>
      </c>
      <c r="AY221" s="85">
        <f t="shared" si="258"/>
        <v>615.6</v>
      </c>
      <c r="AZ221" s="67">
        <f t="shared" si="258"/>
        <v>723.9</v>
      </c>
      <c r="BA221" s="67">
        <f t="shared" si="258"/>
        <v>822</v>
      </c>
      <c r="BB221" s="68">
        <f t="shared" ref="BB221:BC221" si="259">+BB220+BB219+BB218</f>
        <v>1013</v>
      </c>
      <c r="BC221" s="100">
        <f t="shared" si="259"/>
        <v>660.6</v>
      </c>
      <c r="BD221" s="101">
        <f t="shared" ref="BD221:BE221" si="260">+BD220+BD219+BD218</f>
        <v>764.09999999999991</v>
      </c>
      <c r="BE221" s="101">
        <f t="shared" si="260"/>
        <v>789.6</v>
      </c>
      <c r="BF221" s="102">
        <f t="shared" ref="BF221" si="261">+BF220+BF219+BF218</f>
        <v>843.7</v>
      </c>
      <c r="BG221" s="11"/>
      <c r="BH221" s="11"/>
      <c r="BI221" s="11"/>
      <c r="BJ221" s="11"/>
      <c r="BK221" s="11"/>
      <c r="BL221" s="11"/>
      <c r="BM221" s="11"/>
      <c r="BN221" s="11"/>
    </row>
    <row r="222" spans="2:72" x14ac:dyDescent="0.2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85"/>
      <c r="AZ222" s="67"/>
      <c r="BA222" s="67" t="s">
        <v>108</v>
      </c>
      <c r="BB222" s="68"/>
      <c r="BC222" s="100"/>
      <c r="BD222" s="101"/>
      <c r="BE222" s="101"/>
      <c r="BF222" s="102"/>
      <c r="BG222" s="11"/>
      <c r="BH222" s="11"/>
      <c r="BI222" s="11"/>
      <c r="BJ222" s="11"/>
      <c r="BK222" s="11"/>
      <c r="BL222" s="11"/>
      <c r="BM222" s="11"/>
      <c r="BN222" s="11"/>
    </row>
    <row r="223" spans="2:72" x14ac:dyDescent="0.25">
      <c r="B223" s="24" t="s">
        <v>69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85"/>
      <c r="AZ223" s="67"/>
      <c r="BA223" s="67"/>
      <c r="BB223" s="68"/>
      <c r="BC223" s="100"/>
      <c r="BD223" s="101"/>
      <c r="BE223" s="101"/>
      <c r="BF223" s="102"/>
      <c r="BG223" s="11"/>
      <c r="BH223" s="11"/>
      <c r="BI223" s="11"/>
      <c r="BJ223" s="11"/>
      <c r="BK223" s="11"/>
      <c r="BL223" s="11"/>
      <c r="BM223" s="11"/>
      <c r="BN223" s="11"/>
    </row>
    <row r="224" spans="2:72" x14ac:dyDescent="0.25">
      <c r="B224" s="11" t="s">
        <v>71</v>
      </c>
      <c r="C224" s="6">
        <f t="shared" ref="C224:AH224" si="262">+C128+C77+C28+C176</f>
        <v>2473.1999999999998</v>
      </c>
      <c r="D224" s="6">
        <f t="shared" si="262"/>
        <v>2458.6</v>
      </c>
      <c r="E224" s="6">
        <f t="shared" si="262"/>
        <v>2606.6</v>
      </c>
      <c r="F224" s="6">
        <f t="shared" si="262"/>
        <v>2443.3999999999996</v>
      </c>
      <c r="G224" s="6">
        <f t="shared" si="262"/>
        <v>2250.3000000000002</v>
      </c>
      <c r="H224" s="6">
        <f t="shared" si="262"/>
        <v>1931.1999999999998</v>
      </c>
      <c r="I224" s="6">
        <f t="shared" si="262"/>
        <v>1901.6</v>
      </c>
      <c r="J224" s="6">
        <f t="shared" si="262"/>
        <v>1836.7</v>
      </c>
      <c r="K224" s="6">
        <f t="shared" si="262"/>
        <v>1917.3000000000002</v>
      </c>
      <c r="L224" s="6">
        <f t="shared" si="262"/>
        <v>1815.4</v>
      </c>
      <c r="M224" s="6">
        <f t="shared" si="262"/>
        <v>1784</v>
      </c>
      <c r="N224" s="6">
        <f t="shared" si="262"/>
        <v>1911.3000000000002</v>
      </c>
      <c r="O224" s="6">
        <f t="shared" si="262"/>
        <v>1814.9</v>
      </c>
      <c r="P224" s="6">
        <f t="shared" si="262"/>
        <v>1883.6</v>
      </c>
      <c r="Q224" s="6">
        <f t="shared" si="262"/>
        <v>1841.6</v>
      </c>
      <c r="R224" s="6">
        <f t="shared" si="262"/>
        <v>2192.8999999999996</v>
      </c>
      <c r="S224" s="6">
        <f t="shared" si="262"/>
        <v>2187.8000000000002</v>
      </c>
      <c r="T224" s="6">
        <f t="shared" si="262"/>
        <v>2687</v>
      </c>
      <c r="U224" s="6">
        <f t="shared" si="262"/>
        <v>2870</v>
      </c>
      <c r="V224" s="6">
        <f t="shared" si="262"/>
        <v>2813.1</v>
      </c>
      <c r="W224" s="6">
        <f t="shared" si="262"/>
        <v>2783.5</v>
      </c>
      <c r="X224" s="6">
        <f t="shared" si="262"/>
        <v>2910.2</v>
      </c>
      <c r="Y224" s="6">
        <f t="shared" si="262"/>
        <v>2961.9</v>
      </c>
      <c r="Z224" s="6">
        <f t="shared" si="262"/>
        <v>3113.4</v>
      </c>
      <c r="AA224" s="6">
        <f t="shared" si="262"/>
        <v>3236.1</v>
      </c>
      <c r="AB224" s="6">
        <f t="shared" si="262"/>
        <v>3610.5</v>
      </c>
      <c r="AC224" s="6">
        <f t="shared" si="262"/>
        <v>3132.4</v>
      </c>
      <c r="AD224" s="6">
        <f t="shared" si="262"/>
        <v>3589.1</v>
      </c>
      <c r="AE224" s="6">
        <f t="shared" si="262"/>
        <v>4224.3999999999996</v>
      </c>
      <c r="AF224" s="6">
        <f t="shared" si="262"/>
        <v>3721.5</v>
      </c>
      <c r="AG224" s="6">
        <f t="shared" si="262"/>
        <v>3452.2</v>
      </c>
      <c r="AH224" s="6">
        <f t="shared" si="262"/>
        <v>3693.4</v>
      </c>
      <c r="AI224" s="6">
        <f t="shared" ref="AI224:BA224" si="263">+AI128+AI77+AI28+AI176</f>
        <v>2800.9</v>
      </c>
      <c r="AJ224" s="6">
        <f t="shared" si="263"/>
        <v>3763.9</v>
      </c>
      <c r="AK224" s="6">
        <f t="shared" si="263"/>
        <v>3817.8</v>
      </c>
      <c r="AL224" s="6">
        <f t="shared" si="263"/>
        <v>3846.3999999999996</v>
      </c>
      <c r="AM224" s="6">
        <f t="shared" si="263"/>
        <v>3270.3</v>
      </c>
      <c r="AN224" s="6">
        <f t="shared" si="263"/>
        <v>3787.7</v>
      </c>
      <c r="AO224" s="6">
        <f t="shared" si="263"/>
        <v>4440</v>
      </c>
      <c r="AP224" s="6">
        <f t="shared" si="263"/>
        <v>5115.1000000000004</v>
      </c>
      <c r="AQ224" s="6">
        <f t="shared" si="263"/>
        <v>4280.6000000000004</v>
      </c>
      <c r="AR224" s="6">
        <f t="shared" si="263"/>
        <v>4711.3</v>
      </c>
      <c r="AS224" s="11">
        <f t="shared" si="263"/>
        <v>4285.8</v>
      </c>
      <c r="AT224" s="11">
        <f t="shared" si="263"/>
        <v>3275.8</v>
      </c>
      <c r="AU224" s="11">
        <f t="shared" si="263"/>
        <v>4378.1000000000004</v>
      </c>
      <c r="AV224" s="11">
        <f t="shared" si="263"/>
        <v>4837.3</v>
      </c>
      <c r="AW224" s="11">
        <f t="shared" si="263"/>
        <v>5126.9000000000005</v>
      </c>
      <c r="AX224" s="11">
        <f t="shared" si="263"/>
        <v>4988.8999999999996</v>
      </c>
      <c r="AY224" s="85">
        <f t="shared" si="263"/>
        <v>4689.3999999999996</v>
      </c>
      <c r="AZ224" s="67">
        <f t="shared" si="263"/>
        <v>5139.1000000000004</v>
      </c>
      <c r="BA224" s="67">
        <f t="shared" si="263"/>
        <v>5842.0999999999995</v>
      </c>
      <c r="BB224" s="68">
        <f t="shared" ref="BB224:BC224" si="264">+BB128+BB77+BB28+BB176</f>
        <v>6109.9</v>
      </c>
      <c r="BC224" s="100">
        <f t="shared" si="264"/>
        <v>4507.4000000000005</v>
      </c>
      <c r="BD224" s="101">
        <f t="shared" ref="BD224:BE224" si="265">+BD128+BD77+BD28+BD176</f>
        <v>5738.0999999999995</v>
      </c>
      <c r="BE224" s="101">
        <f t="shared" si="265"/>
        <v>6007.2000000000007</v>
      </c>
      <c r="BF224" s="102">
        <f t="shared" ref="BF224" si="266">+BF128+BF77+BF28+BF176</f>
        <v>6464.7000000000007</v>
      </c>
      <c r="BG224" s="11"/>
      <c r="BH224" s="11"/>
      <c r="BI224" s="11"/>
      <c r="BJ224" s="11"/>
      <c r="BK224" s="11"/>
      <c r="BL224" s="11"/>
      <c r="BM224" s="11"/>
      <c r="BN224" s="11"/>
    </row>
    <row r="225" spans="2:66" x14ac:dyDescent="0.25">
      <c r="B225" s="11" t="s">
        <v>72</v>
      </c>
      <c r="C225" s="45">
        <f t="shared" ref="C225:AH225" si="267">+C129+C78+C29+C177</f>
        <v>-1357.5</v>
      </c>
      <c r="D225" s="45">
        <f t="shared" si="267"/>
        <v>-1347.1000000000001</v>
      </c>
      <c r="E225" s="45">
        <f t="shared" si="267"/>
        <v>-1560.1</v>
      </c>
      <c r="F225" s="45">
        <f t="shared" si="267"/>
        <v>-1549.6</v>
      </c>
      <c r="G225" s="45">
        <f t="shared" si="267"/>
        <v>-1554.4</v>
      </c>
      <c r="H225" s="45">
        <f t="shared" si="267"/>
        <v>-1570.4</v>
      </c>
      <c r="I225" s="45">
        <f t="shared" si="267"/>
        <v>-1685.8000000000002</v>
      </c>
      <c r="J225" s="45">
        <f t="shared" si="267"/>
        <v>-1700.2</v>
      </c>
      <c r="K225" s="45">
        <f t="shared" si="267"/>
        <v>-1643.8000000000002</v>
      </c>
      <c r="L225" s="45">
        <f t="shared" si="267"/>
        <v>-1652.8</v>
      </c>
      <c r="M225" s="45">
        <f t="shared" si="267"/>
        <v>-1663.6999999999998</v>
      </c>
      <c r="N225" s="45">
        <f t="shared" si="267"/>
        <v>-1687.4</v>
      </c>
      <c r="O225" s="45">
        <f t="shared" si="267"/>
        <v>-1649.1</v>
      </c>
      <c r="P225" s="45">
        <f t="shared" si="267"/>
        <v>-1660.1</v>
      </c>
      <c r="Q225" s="45">
        <f t="shared" si="267"/>
        <v>-1671.6</v>
      </c>
      <c r="R225" s="45">
        <f t="shared" si="267"/>
        <v>-1732.1</v>
      </c>
      <c r="S225" s="45">
        <f t="shared" si="267"/>
        <v>-1704.9</v>
      </c>
      <c r="T225" s="45">
        <f t="shared" si="267"/>
        <v>-1775.8</v>
      </c>
      <c r="U225" s="45">
        <f t="shared" si="267"/>
        <v>-1644</v>
      </c>
      <c r="V225" s="45">
        <f t="shared" si="267"/>
        <v>-1681.7</v>
      </c>
      <c r="W225" s="45">
        <f t="shared" si="267"/>
        <v>-1708.7</v>
      </c>
      <c r="X225" s="45">
        <f t="shared" si="267"/>
        <v>-1723.9</v>
      </c>
      <c r="Y225" s="45">
        <f t="shared" si="267"/>
        <v>-1799.6</v>
      </c>
      <c r="Z225" s="45">
        <f t="shared" si="267"/>
        <v>-1853.1000000000001</v>
      </c>
      <c r="AA225" s="45">
        <f t="shared" si="267"/>
        <v>-1799.2</v>
      </c>
      <c r="AB225" s="45">
        <f t="shared" si="267"/>
        <v>-1895.3000000000002</v>
      </c>
      <c r="AC225" s="45">
        <f t="shared" si="267"/>
        <v>-2164.6</v>
      </c>
      <c r="AD225" s="45">
        <f t="shared" si="267"/>
        <v>-2152.6999999999998</v>
      </c>
      <c r="AE225" s="45">
        <f t="shared" si="267"/>
        <v>-2138.3000000000002</v>
      </c>
      <c r="AF225" s="45">
        <f t="shared" si="267"/>
        <v>-2196.3000000000002</v>
      </c>
      <c r="AG225" s="45">
        <f t="shared" si="267"/>
        <v>-2389.6999999999998</v>
      </c>
      <c r="AH225" s="45">
        <f t="shared" si="267"/>
        <v>-2377</v>
      </c>
      <c r="AI225" s="45">
        <f t="shared" ref="AI225:BA225" si="268">+AI129+AI78+AI29+AI177</f>
        <v>-2305.6999999999998</v>
      </c>
      <c r="AJ225" s="45">
        <f t="shared" si="268"/>
        <v>-2456.8999999999996</v>
      </c>
      <c r="AK225" s="45">
        <f t="shared" si="268"/>
        <v>-2575.9</v>
      </c>
      <c r="AL225" s="45">
        <f t="shared" si="268"/>
        <v>-2467.3000000000002</v>
      </c>
      <c r="AM225" s="45">
        <f t="shared" si="268"/>
        <v>-2270.3000000000002</v>
      </c>
      <c r="AN225" s="45">
        <f t="shared" si="268"/>
        <v>-2540.6000000000004</v>
      </c>
      <c r="AO225" s="45">
        <f t="shared" si="268"/>
        <v>-2580.6999999999998</v>
      </c>
      <c r="AP225" s="45">
        <f t="shared" si="268"/>
        <v>-2469.6000000000004</v>
      </c>
      <c r="AQ225" s="45">
        <f t="shared" si="268"/>
        <v>-2601</v>
      </c>
      <c r="AR225" s="45">
        <f t="shared" si="268"/>
        <v>-2747</v>
      </c>
      <c r="AS225" s="46">
        <f t="shared" si="268"/>
        <v>-2935.3</v>
      </c>
      <c r="AT225" s="46">
        <f t="shared" si="268"/>
        <v>-2590.3000000000002</v>
      </c>
      <c r="AU225" s="46">
        <f t="shared" si="268"/>
        <v>-2860.3</v>
      </c>
      <c r="AV225" s="46">
        <f t="shared" si="268"/>
        <v>-3031.7000000000003</v>
      </c>
      <c r="AW225" s="46">
        <f t="shared" si="268"/>
        <v>-3132.3</v>
      </c>
      <c r="AX225" s="46">
        <f t="shared" si="268"/>
        <v>-3012.7</v>
      </c>
      <c r="AY225" s="92">
        <f t="shared" si="268"/>
        <v>-2945.8999999999996</v>
      </c>
      <c r="AZ225" s="46">
        <f t="shared" si="268"/>
        <v>-3394.5</v>
      </c>
      <c r="BA225" s="46">
        <f t="shared" si="268"/>
        <v>-4057.3</v>
      </c>
      <c r="BB225" s="93">
        <f t="shared" ref="BB225:BC225" si="269">+BB129+BB78+BB29+BB177</f>
        <v>-3913.7</v>
      </c>
      <c r="BC225" s="145">
        <f t="shared" si="269"/>
        <v>-3763</v>
      </c>
      <c r="BD225" s="52">
        <f t="shared" ref="BD225:BE225" si="270">+BD129+BD78+BD29+BD177</f>
        <v>-4116.5</v>
      </c>
      <c r="BE225" s="52">
        <f t="shared" si="270"/>
        <v>-4414.5999999999995</v>
      </c>
      <c r="BF225" s="146">
        <f t="shared" ref="BF225" si="271">+BF129+BF78+BF29+BF177</f>
        <v>-4086.3</v>
      </c>
      <c r="BG225" s="11"/>
      <c r="BH225" s="11"/>
      <c r="BI225" s="11"/>
      <c r="BJ225" s="11"/>
      <c r="BK225" s="11"/>
      <c r="BL225" s="11"/>
      <c r="BM225" s="11"/>
      <c r="BN225" s="11"/>
    </row>
    <row r="226" spans="2:66" x14ac:dyDescent="0.25">
      <c r="B226" s="11" t="s">
        <v>73</v>
      </c>
      <c r="C226" s="11">
        <f t="shared" ref="C226:AZ226" si="272">+C224+C225</f>
        <v>1115.6999999999998</v>
      </c>
      <c r="D226" s="11">
        <f t="shared" si="272"/>
        <v>1111.4999999999998</v>
      </c>
      <c r="E226" s="11">
        <f t="shared" si="272"/>
        <v>1046.5</v>
      </c>
      <c r="F226" s="11">
        <f t="shared" si="272"/>
        <v>893.79999999999973</v>
      </c>
      <c r="G226" s="11">
        <f t="shared" si="272"/>
        <v>695.90000000000009</v>
      </c>
      <c r="H226" s="11">
        <f t="shared" si="272"/>
        <v>360.79999999999973</v>
      </c>
      <c r="I226" s="11">
        <f t="shared" si="272"/>
        <v>215.79999999999973</v>
      </c>
      <c r="J226" s="11">
        <f t="shared" si="272"/>
        <v>136.5</v>
      </c>
      <c r="K226" s="11">
        <f t="shared" si="272"/>
        <v>273.5</v>
      </c>
      <c r="L226" s="11">
        <f t="shared" si="272"/>
        <v>162.60000000000014</v>
      </c>
      <c r="M226" s="11">
        <f t="shared" si="272"/>
        <v>120.30000000000018</v>
      </c>
      <c r="N226" s="11">
        <f t="shared" si="272"/>
        <v>223.90000000000009</v>
      </c>
      <c r="O226" s="11">
        <f t="shared" si="272"/>
        <v>165.80000000000018</v>
      </c>
      <c r="P226" s="11">
        <f t="shared" si="272"/>
        <v>223.5</v>
      </c>
      <c r="Q226" s="11">
        <f t="shared" si="272"/>
        <v>170</v>
      </c>
      <c r="R226" s="11">
        <f t="shared" si="272"/>
        <v>460.79999999999973</v>
      </c>
      <c r="S226" s="11">
        <f t="shared" si="272"/>
        <v>482.90000000000009</v>
      </c>
      <c r="T226" s="11">
        <f t="shared" si="272"/>
        <v>911.2</v>
      </c>
      <c r="U226" s="11">
        <f t="shared" si="272"/>
        <v>1226</v>
      </c>
      <c r="V226" s="11">
        <f t="shared" si="272"/>
        <v>1131.3999999999999</v>
      </c>
      <c r="W226" s="11">
        <f t="shared" si="272"/>
        <v>1074.8</v>
      </c>
      <c r="X226" s="11">
        <f t="shared" si="272"/>
        <v>1186.2999999999997</v>
      </c>
      <c r="Y226" s="11">
        <f t="shared" si="272"/>
        <v>1162.3000000000002</v>
      </c>
      <c r="Z226" s="11">
        <f t="shared" si="272"/>
        <v>1260.3</v>
      </c>
      <c r="AA226" s="11">
        <f t="shared" si="272"/>
        <v>1436.8999999999999</v>
      </c>
      <c r="AB226" s="11">
        <f t="shared" si="272"/>
        <v>1715.1999999999998</v>
      </c>
      <c r="AC226" s="11">
        <f t="shared" si="272"/>
        <v>967.80000000000018</v>
      </c>
      <c r="AD226" s="11">
        <f t="shared" si="272"/>
        <v>1436.4</v>
      </c>
      <c r="AE226" s="11">
        <f t="shared" si="272"/>
        <v>2086.0999999999995</v>
      </c>
      <c r="AF226" s="11">
        <f t="shared" si="272"/>
        <v>1525.1999999999998</v>
      </c>
      <c r="AG226" s="11">
        <f t="shared" si="272"/>
        <v>1062.5</v>
      </c>
      <c r="AH226" s="11">
        <f t="shared" si="272"/>
        <v>1316.4</v>
      </c>
      <c r="AI226" s="11">
        <f t="shared" si="272"/>
        <v>495.20000000000027</v>
      </c>
      <c r="AJ226" s="11">
        <f t="shared" si="272"/>
        <v>1307.0000000000005</v>
      </c>
      <c r="AK226" s="11">
        <f t="shared" si="272"/>
        <v>1241.9000000000001</v>
      </c>
      <c r="AL226" s="11">
        <f t="shared" si="272"/>
        <v>1379.0999999999995</v>
      </c>
      <c r="AM226" s="11">
        <f t="shared" si="272"/>
        <v>1000</v>
      </c>
      <c r="AN226" s="11">
        <f t="shared" si="272"/>
        <v>1247.0999999999995</v>
      </c>
      <c r="AO226" s="11">
        <f t="shared" si="272"/>
        <v>1859.3000000000002</v>
      </c>
      <c r="AP226" s="11">
        <f t="shared" si="272"/>
        <v>2645.5</v>
      </c>
      <c r="AQ226" s="11">
        <f t="shared" si="272"/>
        <v>1679.6000000000004</v>
      </c>
      <c r="AR226" s="11">
        <f t="shared" si="272"/>
        <v>1964.3000000000002</v>
      </c>
      <c r="AS226" s="11">
        <f t="shared" si="272"/>
        <v>1350.5</v>
      </c>
      <c r="AT226" s="11">
        <f t="shared" si="272"/>
        <v>685.5</v>
      </c>
      <c r="AU226" s="11">
        <f t="shared" si="272"/>
        <v>1517.8000000000002</v>
      </c>
      <c r="AV226" s="11">
        <f t="shared" si="272"/>
        <v>1805.6</v>
      </c>
      <c r="AW226" s="11">
        <f t="shared" si="272"/>
        <v>1994.6000000000004</v>
      </c>
      <c r="AX226" s="11">
        <f t="shared" si="272"/>
        <v>1976.1999999999998</v>
      </c>
      <c r="AY226" s="85">
        <f t="shared" si="272"/>
        <v>1743.5</v>
      </c>
      <c r="AZ226" s="67">
        <f t="shared" si="272"/>
        <v>1744.6000000000004</v>
      </c>
      <c r="BA226" s="67">
        <f t="shared" ref="BA226:BB226" si="273">+BA224+BA225</f>
        <v>1784.7999999999993</v>
      </c>
      <c r="BB226" s="68">
        <f t="shared" si="273"/>
        <v>2196.1999999999998</v>
      </c>
      <c r="BC226" s="100">
        <f t="shared" ref="BC226:BD226" si="274">+BC224+BC225</f>
        <v>744.40000000000055</v>
      </c>
      <c r="BD226" s="101">
        <f t="shared" si="274"/>
        <v>1621.5999999999995</v>
      </c>
      <c r="BE226" s="101">
        <f t="shared" ref="BE226:BF226" si="275">+BE224+BE225</f>
        <v>1592.6000000000013</v>
      </c>
      <c r="BF226" s="102">
        <f t="shared" si="275"/>
        <v>2378.4000000000005</v>
      </c>
      <c r="BG226" s="11"/>
      <c r="BH226" s="11"/>
      <c r="BI226" s="11"/>
      <c r="BJ226" s="11"/>
      <c r="BK226" s="11"/>
      <c r="BL226" s="11"/>
      <c r="BM226" s="11"/>
      <c r="BN226" s="11"/>
    </row>
    <row r="227" spans="2:66" x14ac:dyDescent="0.25"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85"/>
      <c r="AZ227" s="67"/>
      <c r="BA227" s="67"/>
      <c r="BB227" s="68"/>
      <c r="BC227" s="147"/>
      <c r="BD227" s="101"/>
      <c r="BE227" s="101"/>
      <c r="BF227" s="102"/>
      <c r="BG227" s="11"/>
      <c r="BH227" s="11"/>
      <c r="BI227" s="11"/>
      <c r="BJ227" s="11"/>
      <c r="BK227" s="11"/>
      <c r="BL227" s="11"/>
      <c r="BM227" s="11"/>
      <c r="BN227" s="11"/>
    </row>
    <row r="228" spans="2:66" x14ac:dyDescent="0.25">
      <c r="B228" s="11" t="s">
        <v>114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00">
        <v>618.79999999999995</v>
      </c>
      <c r="AZ228" s="101">
        <v>726.9</v>
      </c>
      <c r="BA228" s="101">
        <v>840.3</v>
      </c>
      <c r="BB228" s="102">
        <v>1064.8</v>
      </c>
      <c r="BC228" s="100">
        <v>720.9</v>
      </c>
      <c r="BD228" s="101">
        <v>836</v>
      </c>
      <c r="BE228" s="101">
        <v>872.9</v>
      </c>
      <c r="BF228" s="102">
        <v>915</v>
      </c>
      <c r="BG228" s="11"/>
      <c r="BH228" s="11"/>
      <c r="BI228" s="11"/>
      <c r="BJ228" s="11"/>
      <c r="BK228" s="11"/>
      <c r="BL228" s="11"/>
      <c r="BM228" s="11"/>
      <c r="BN228" s="11"/>
    </row>
    <row r="229" spans="2:66" x14ac:dyDescent="0.25"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85"/>
      <c r="AZ229" s="67"/>
      <c r="BA229" s="67"/>
      <c r="BB229" s="68"/>
      <c r="BC229" s="147"/>
      <c r="BD229" s="148"/>
      <c r="BE229" s="101"/>
      <c r="BF229" s="102"/>
      <c r="BG229" s="11"/>
      <c r="BH229" s="11"/>
      <c r="BI229" s="11"/>
      <c r="BJ229" s="11"/>
      <c r="BK229" s="11"/>
      <c r="BL229" s="11"/>
      <c r="BM229" s="11"/>
      <c r="BN229" s="11"/>
    </row>
    <row r="230" spans="2:66" x14ac:dyDescent="0.25">
      <c r="B230" s="11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Q230" s="11"/>
      <c r="AY230" s="81"/>
      <c r="AZ230" s="82"/>
      <c r="BA230" s="82"/>
      <c r="BB230" s="83"/>
      <c r="BC230" s="131"/>
      <c r="BD230" s="132"/>
      <c r="BE230" s="135"/>
      <c r="BF230" s="136"/>
    </row>
    <row r="231" spans="2:66" x14ac:dyDescent="0.25">
      <c r="B231" s="11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Q231" s="6"/>
      <c r="AY231" s="81"/>
      <c r="AZ231" s="82"/>
      <c r="BA231" s="82"/>
      <c r="BB231" s="83"/>
      <c r="BC231" s="131"/>
      <c r="BD231" s="132"/>
      <c r="BE231" s="135"/>
      <c r="BF231" s="136"/>
    </row>
    <row r="232" spans="2:66" ht="15.75" x14ac:dyDescent="0.25">
      <c r="B232" s="39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Y232" t="s">
        <v>112</v>
      </c>
      <c r="BA232" s="82"/>
      <c r="BB232" s="83"/>
      <c r="BC232" s="131"/>
      <c r="BD232" s="132"/>
      <c r="BE232" s="135"/>
      <c r="BF232" s="136"/>
    </row>
    <row r="233" spans="2:66" x14ac:dyDescent="0.25">
      <c r="B233" s="24" t="s">
        <v>79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Y233" s="81" t="s">
        <v>113</v>
      </c>
      <c r="AZ233" s="82"/>
      <c r="BA233" s="82"/>
      <c r="BB233" s="83"/>
      <c r="BC233" s="131"/>
      <c r="BD233" s="132"/>
      <c r="BE233" s="135"/>
      <c r="BF233" s="136"/>
    </row>
    <row r="234" spans="2:66" x14ac:dyDescent="0.25">
      <c r="B234" t="s">
        <v>80</v>
      </c>
      <c r="C234" s="14">
        <f t="shared" ref="C234:AH234" si="276">+C224*(1000000)/(C212)</f>
        <v>105224.64261402315</v>
      </c>
      <c r="D234" s="14">
        <f t="shared" si="276"/>
        <v>98997.382725991542</v>
      </c>
      <c r="E234" s="14">
        <f t="shared" si="276"/>
        <v>108032.16180371353</v>
      </c>
      <c r="F234" s="14">
        <f t="shared" si="276"/>
        <v>100567.99473164305</v>
      </c>
      <c r="G234" s="14">
        <f t="shared" si="276"/>
        <v>94745.484400656816</v>
      </c>
      <c r="H234" s="14">
        <f t="shared" si="276"/>
        <v>86628.089534831553</v>
      </c>
      <c r="I234" s="14">
        <f t="shared" si="276"/>
        <v>86037.462673061265</v>
      </c>
      <c r="J234" s="14">
        <f t="shared" si="276"/>
        <v>84585.981394492032</v>
      </c>
      <c r="K234" s="14">
        <f t="shared" si="276"/>
        <v>88665.371809101009</v>
      </c>
      <c r="L234" s="14">
        <f t="shared" si="276"/>
        <v>83412.975555963974</v>
      </c>
      <c r="M234" s="14">
        <f t="shared" si="276"/>
        <v>81913.770145553062</v>
      </c>
      <c r="N234" s="14">
        <f t="shared" si="276"/>
        <v>84656.951765070655</v>
      </c>
      <c r="O234" s="14">
        <f t="shared" si="276"/>
        <v>82025.671156105935</v>
      </c>
      <c r="P234" s="14">
        <f t="shared" si="276"/>
        <v>88200.037460198539</v>
      </c>
      <c r="Q234" s="14">
        <f t="shared" si="276"/>
        <v>91535.364580744572</v>
      </c>
      <c r="R234" s="14">
        <f t="shared" si="276"/>
        <v>101069.27224961974</v>
      </c>
      <c r="S234" s="14">
        <f t="shared" si="276"/>
        <v>108813.28956530389</v>
      </c>
      <c r="T234" s="14">
        <f t="shared" si="276"/>
        <v>129164.06287554679</v>
      </c>
      <c r="U234" s="14">
        <f t="shared" si="276"/>
        <v>142121.42220461523</v>
      </c>
      <c r="V234" s="14">
        <f t="shared" si="276"/>
        <v>144158.04038126473</v>
      </c>
      <c r="W234" s="14">
        <f t="shared" si="276"/>
        <v>151565.47781105363</v>
      </c>
      <c r="X234" s="14">
        <f t="shared" si="276"/>
        <v>151944.8650341983</v>
      </c>
      <c r="Y234" s="14">
        <f t="shared" si="276"/>
        <v>154878.68646726626</v>
      </c>
      <c r="Z234" s="14">
        <f t="shared" si="276"/>
        <v>169871.23526844173</v>
      </c>
      <c r="AA234" s="13">
        <f t="shared" si="276"/>
        <v>222718.51342050929</v>
      </c>
      <c r="AB234" s="13">
        <f t="shared" si="276"/>
        <v>225079.48382270432</v>
      </c>
      <c r="AC234" s="13">
        <f t="shared" si="276"/>
        <v>216700.1037703217</v>
      </c>
      <c r="AD234" s="13">
        <f t="shared" si="276"/>
        <v>254546.09929078014</v>
      </c>
      <c r="AE234" s="13">
        <f t="shared" si="276"/>
        <v>289580.47710446938</v>
      </c>
      <c r="AF234" s="13">
        <f t="shared" si="276"/>
        <v>250893.27850064047</v>
      </c>
      <c r="AG234" s="13">
        <f t="shared" si="276"/>
        <v>240504.38902048211</v>
      </c>
      <c r="AH234" s="13">
        <f t="shared" si="276"/>
        <v>263250.17818959372</v>
      </c>
      <c r="AI234" s="13">
        <f t="shared" ref="AI234:AZ234" si="277">+AI224*(1000000)/(AI212)</f>
        <v>266854.03963414632</v>
      </c>
      <c r="AJ234" s="13">
        <f t="shared" si="277"/>
        <v>289352.70602706028</v>
      </c>
      <c r="AK234" s="13">
        <f t="shared" si="277"/>
        <v>287918.55203619908</v>
      </c>
      <c r="AL234" s="13">
        <f t="shared" si="277"/>
        <v>301891.53127697977</v>
      </c>
      <c r="AM234" s="13">
        <f t="shared" si="277"/>
        <v>311962.22455403989</v>
      </c>
      <c r="AN234" s="13">
        <f t="shared" si="277"/>
        <v>328707.80178772891</v>
      </c>
      <c r="AO234" s="13">
        <f t="shared" si="277"/>
        <v>392226.14840989397</v>
      </c>
      <c r="AP234" s="13">
        <f t="shared" si="277"/>
        <v>437974.14162171417</v>
      </c>
      <c r="AQ234" s="13">
        <f t="shared" si="277"/>
        <v>418558.71712134551</v>
      </c>
      <c r="AR234" s="13">
        <f t="shared" si="277"/>
        <v>421592.84116331098</v>
      </c>
      <c r="AS234" s="13">
        <f t="shared" si="277"/>
        <v>436169.34663138614</v>
      </c>
      <c r="AT234" s="13">
        <f t="shared" si="277"/>
        <v>479549.11433172302</v>
      </c>
      <c r="AU234" s="13">
        <f t="shared" si="277"/>
        <v>470156.78694158077</v>
      </c>
      <c r="AV234" s="13">
        <f t="shared" si="277"/>
        <v>435753.53571750293</v>
      </c>
      <c r="AW234" s="13">
        <f t="shared" si="277"/>
        <v>425080.83906807069</v>
      </c>
      <c r="AX234" s="13">
        <f t="shared" si="277"/>
        <v>415741.66666666669</v>
      </c>
      <c r="AY234" s="63">
        <f t="shared" si="277"/>
        <v>453608.04797833238</v>
      </c>
      <c r="AZ234" s="64">
        <f t="shared" si="277"/>
        <v>435332.48623464635</v>
      </c>
      <c r="BA234" s="64">
        <f>+BA224*(1000000)/(BA212)+7</f>
        <v>442255.29674489016</v>
      </c>
      <c r="BB234" s="65">
        <f>+BB224*(1000000)/(BB212)</f>
        <v>433972.58328006248</v>
      </c>
      <c r="BC234" s="112">
        <f>+BC224*(1000000)/(BC212)</f>
        <v>459563.62153344217</v>
      </c>
      <c r="BD234" s="113">
        <f>+BD224*(1000000)/(BD212)-8</f>
        <v>462891.32236205222</v>
      </c>
      <c r="BE234" s="113">
        <f>+BE224*(1000000)/(BE212)+8</f>
        <v>470349.37175070477</v>
      </c>
      <c r="BF234" s="114">
        <f>+BF224*(1000000)/(BF212)</f>
        <v>505094.14798031101</v>
      </c>
    </row>
    <row r="235" spans="2:66" x14ac:dyDescent="0.25">
      <c r="B235" t="s">
        <v>81</v>
      </c>
      <c r="C235" s="14">
        <f>+C234/(32.15074)/(C244)</f>
        <v>283.8554118821221</v>
      </c>
      <c r="D235" s="14">
        <f t="shared" ref="D235:AZ235" si="278">+D234/(32.15074)/(D244)</f>
        <v>292.97463615354502</v>
      </c>
      <c r="E235" s="14">
        <f t="shared" si="278"/>
        <v>323.71642821038529</v>
      </c>
      <c r="F235" s="14">
        <f t="shared" si="278"/>
        <v>320.16529478342414</v>
      </c>
      <c r="G235" s="14">
        <f t="shared" si="278"/>
        <v>351.66045083966139</v>
      </c>
      <c r="H235" s="14">
        <f t="shared" si="278"/>
        <v>348.11825885883803</v>
      </c>
      <c r="I235" s="14">
        <f t="shared" si="278"/>
        <v>359.68612512387659</v>
      </c>
      <c r="J235" s="14">
        <f t="shared" si="278"/>
        <v>389.18914902727113</v>
      </c>
      <c r="K235" s="14">
        <f t="shared" si="278"/>
        <v>406.15639152672213</v>
      </c>
      <c r="L235" s="14">
        <f t="shared" si="278"/>
        <v>393.09607274020789</v>
      </c>
      <c r="M235" s="14">
        <f t="shared" si="278"/>
        <v>400.5980455750431</v>
      </c>
      <c r="N235" s="14">
        <f t="shared" si="278"/>
        <v>430.24935835786357</v>
      </c>
      <c r="O235" s="14">
        <f t="shared" si="278"/>
        <v>428.78724051327657</v>
      </c>
      <c r="P235" s="14">
        <f t="shared" si="278"/>
        <v>429.31586531832056</v>
      </c>
      <c r="Q235" s="14">
        <f t="shared" si="278"/>
        <v>436.66697397136011</v>
      </c>
      <c r="R235" s="14">
        <f t="shared" si="278"/>
        <v>481.40986322668505</v>
      </c>
      <c r="S235" s="14">
        <f t="shared" si="278"/>
        <v>551.21699006483163</v>
      </c>
      <c r="T235" s="14">
        <f t="shared" si="278"/>
        <v>628.7092729010335</v>
      </c>
      <c r="U235" s="14">
        <f t="shared" si="278"/>
        <v>622.60158612087605</v>
      </c>
      <c r="V235" s="14">
        <f t="shared" si="278"/>
        <v>607.56330360543643</v>
      </c>
      <c r="W235" s="14">
        <f t="shared" si="278"/>
        <v>653.84386767334138</v>
      </c>
      <c r="X235" s="14">
        <f t="shared" si="278"/>
        <v>666.57468970789387</v>
      </c>
      <c r="Y235" s="14">
        <f t="shared" si="278"/>
        <v>678.48825571143516</v>
      </c>
      <c r="Z235" s="14">
        <f t="shared" si="278"/>
        <v>781.59572553757948</v>
      </c>
      <c r="AA235" s="13">
        <f t="shared" si="278"/>
        <v>929.84181616197895</v>
      </c>
      <c r="AB235" s="13">
        <f t="shared" si="278"/>
        <v>900.99818964479778</v>
      </c>
      <c r="AC235" s="13">
        <f t="shared" si="278"/>
        <v>870.81757457807009</v>
      </c>
      <c r="AD235" s="13">
        <f t="shared" si="278"/>
        <v>806.23933924402775</v>
      </c>
      <c r="AE235" s="13">
        <f t="shared" si="278"/>
        <v>907.04546742583989</v>
      </c>
      <c r="AF235" s="13">
        <f t="shared" si="278"/>
        <v>911.64192306813482</v>
      </c>
      <c r="AG235" s="13">
        <f t="shared" si="278"/>
        <v>956.58877397972594</v>
      </c>
      <c r="AH235" s="13">
        <f t="shared" si="278"/>
        <v>1093.1905851511979</v>
      </c>
      <c r="AI235" s="13">
        <f t="shared" si="278"/>
        <v>1106.6786835353146</v>
      </c>
      <c r="AJ235" s="13">
        <f t="shared" si="278"/>
        <v>1198.3857546829929</v>
      </c>
      <c r="AK235" s="13">
        <f t="shared" si="278"/>
        <v>1216.7486186376807</v>
      </c>
      <c r="AL235" s="13">
        <f t="shared" si="278"/>
        <v>1356.9188089030968</v>
      </c>
      <c r="AM235" s="13">
        <f t="shared" si="278"/>
        <v>1390.1306298435904</v>
      </c>
      <c r="AN235" s="13">
        <f t="shared" si="278"/>
        <v>1507.9583445002129</v>
      </c>
      <c r="AO235" s="13">
        <f t="shared" si="278"/>
        <v>1730.4396311895175</v>
      </c>
      <c r="AP235" s="13">
        <f t="shared" si="278"/>
        <v>1685.9556109046603</v>
      </c>
      <c r="AQ235" s="13">
        <f t="shared" si="278"/>
        <v>1675.4998722293153</v>
      </c>
      <c r="AR235" s="13">
        <f t="shared" si="278"/>
        <v>1626.9238006513913</v>
      </c>
      <c r="AS235" s="13">
        <f t="shared" si="278"/>
        <v>1642.4196035751047</v>
      </c>
      <c r="AT235" s="13">
        <f t="shared" si="278"/>
        <v>1720.3746020128092</v>
      </c>
      <c r="AU235" s="13">
        <f t="shared" si="278"/>
        <v>1644.9396740932139</v>
      </c>
      <c r="AV235" s="13">
        <f t="shared" si="278"/>
        <v>1440.3244163416443</v>
      </c>
      <c r="AW235" s="13">
        <f t="shared" si="278"/>
        <v>1324.7990698721856</v>
      </c>
      <c r="AX235" s="13">
        <f t="shared" si="278"/>
        <v>1279.0320401442964</v>
      </c>
      <c r="AY235" s="63">
        <f t="shared" si="278"/>
        <v>1303.9547392896798</v>
      </c>
      <c r="AZ235" s="64">
        <f t="shared" si="278"/>
        <v>1285.8838226284486</v>
      </c>
      <c r="BA235" s="64">
        <f t="shared" ref="BA235:BB235" si="279">+BA234/(32.15074)/(BA244)</f>
        <v>1283.1791205565173</v>
      </c>
      <c r="BB235" s="65">
        <f t="shared" si="279"/>
        <v>1205.1838333605076</v>
      </c>
      <c r="BC235" s="112">
        <f t="shared" ref="BC235:BD235" si="280">+BC234/(32.15074)/(BC244)</f>
        <v>1221.7119111847912</v>
      </c>
      <c r="BD235" s="113">
        <f t="shared" si="280"/>
        <v>1192.8361596958155</v>
      </c>
      <c r="BE235" s="113">
        <f>+BE234/(32.15074)/(BE244)+1</f>
        <v>1126.3464431580849</v>
      </c>
      <c r="BF235" s="114">
        <f>+BF234/(32.15074)/(BF244)</f>
        <v>1105.5726476583568</v>
      </c>
    </row>
    <row r="236" spans="2:66" x14ac:dyDescent="0.25">
      <c r="B236" t="s">
        <v>82</v>
      </c>
      <c r="C236" s="14">
        <f t="shared" ref="C236:AV236" si="281">+((C140*C116)+(C89*C65)+(C40*C16))/(C212)</f>
        <v>55845.841941797138</v>
      </c>
      <c r="D236" s="14">
        <f t="shared" si="281"/>
        <v>54201.937185423798</v>
      </c>
      <c r="E236" s="14">
        <f t="shared" si="281"/>
        <v>59088.447737068964</v>
      </c>
      <c r="F236" s="14">
        <f t="shared" si="281"/>
        <v>60363.820711228189</v>
      </c>
      <c r="G236" s="14">
        <f t="shared" si="281"/>
        <v>61993.254852427264</v>
      </c>
      <c r="H236" s="14">
        <f t="shared" si="281"/>
        <v>67326.103754541778</v>
      </c>
      <c r="I236" s="14">
        <f t="shared" si="281"/>
        <v>73468.424622206134</v>
      </c>
      <c r="J236" s="14">
        <f t="shared" si="281"/>
        <v>75053.203232937274</v>
      </c>
      <c r="K236" s="14">
        <f t="shared" si="281"/>
        <v>72951.807019977801</v>
      </c>
      <c r="L236" s="14">
        <f t="shared" si="281"/>
        <v>73033.681170740674</v>
      </c>
      <c r="M236" s="14">
        <f t="shared" si="281"/>
        <v>73263.454244914828</v>
      </c>
      <c r="N236" s="14">
        <f t="shared" si="281"/>
        <v>71949.417238782829</v>
      </c>
      <c r="O236" s="14">
        <f t="shared" si="281"/>
        <v>71581.201346831775</v>
      </c>
      <c r="P236" s="14">
        <f t="shared" si="281"/>
        <v>74611.312652182052</v>
      </c>
      <c r="Q236" s="14">
        <f t="shared" si="281"/>
        <v>79794.977086336294</v>
      </c>
      <c r="R236" s="14">
        <f t="shared" si="281"/>
        <v>76858.492648753279</v>
      </c>
      <c r="S236" s="14">
        <f t="shared" si="281"/>
        <v>81916.12747438575</v>
      </c>
      <c r="T236" s="14">
        <f t="shared" si="281"/>
        <v>82420.563428351685</v>
      </c>
      <c r="U236" s="14">
        <f t="shared" si="281"/>
        <v>77543.013766465287</v>
      </c>
      <c r="V236" s="14">
        <f t="shared" si="281"/>
        <v>82212.698267910222</v>
      </c>
      <c r="W236" s="14">
        <f t="shared" si="281"/>
        <v>88783.277756602227</v>
      </c>
      <c r="X236" s="14">
        <f t="shared" si="281"/>
        <v>86070.267738735449</v>
      </c>
      <c r="Y236" s="14">
        <f t="shared" si="281"/>
        <v>89657.045910897301</v>
      </c>
      <c r="Z236" s="14">
        <f t="shared" si="281"/>
        <v>95825.824912701879</v>
      </c>
      <c r="AA236" s="13">
        <f t="shared" si="281"/>
        <v>117398.69194769443</v>
      </c>
      <c r="AB236" s="13">
        <f t="shared" si="281"/>
        <v>112649.03609500655</v>
      </c>
      <c r="AC236" s="13">
        <f t="shared" si="281"/>
        <v>142649.50543064682</v>
      </c>
      <c r="AD236" s="13">
        <f t="shared" si="281"/>
        <v>145794.66035460992</v>
      </c>
      <c r="AE236" s="13">
        <f t="shared" si="281"/>
        <v>138888.0973402797</v>
      </c>
      <c r="AF236" s="13">
        <f t="shared" si="281"/>
        <v>140895.55612485672</v>
      </c>
      <c r="AG236" s="13">
        <f t="shared" si="281"/>
        <v>160094.644210673</v>
      </c>
      <c r="AH236" s="13">
        <f t="shared" si="281"/>
        <v>162858.11603706345</v>
      </c>
      <c r="AI236" s="13">
        <f t="shared" si="281"/>
        <v>211699.33936737804</v>
      </c>
      <c r="AJ236" s="13">
        <f t="shared" si="281"/>
        <v>185501.64029827798</v>
      </c>
      <c r="AK236" s="13">
        <f t="shared" si="281"/>
        <v>191040.61953242836</v>
      </c>
      <c r="AL236" s="13">
        <f t="shared" si="281"/>
        <v>191460.65748371399</v>
      </c>
      <c r="AM236" s="13">
        <f t="shared" si="281"/>
        <v>212543.89392349517</v>
      </c>
      <c r="AN236" s="13">
        <f t="shared" si="281"/>
        <v>219508.86461858891</v>
      </c>
      <c r="AO236" s="13">
        <f t="shared" si="281"/>
        <v>229399.41696113074</v>
      </c>
      <c r="AP236" s="13">
        <f t="shared" si="281"/>
        <v>218931.28007534891</v>
      </c>
      <c r="AQ236" s="13">
        <f t="shared" si="281"/>
        <v>256595.35249828885</v>
      </c>
      <c r="AR236" s="13">
        <f t="shared" si="281"/>
        <v>249432.02308724832</v>
      </c>
      <c r="AS236" s="13">
        <f t="shared" si="281"/>
        <v>297069.17138204764</v>
      </c>
      <c r="AT236" s="13">
        <f t="shared" si="281"/>
        <v>373093.25838091056</v>
      </c>
      <c r="AU236" s="13">
        <f t="shared" si="281"/>
        <v>306593.90270618559</v>
      </c>
      <c r="AV236" s="13">
        <f t="shared" si="281"/>
        <v>274299.56328258716</v>
      </c>
      <c r="AW236" s="13">
        <f>+((AW140*AW116)+(AW89*AW65)+(AW40*AW16))/(AW212)-1</f>
        <v>262141.72166487025</v>
      </c>
      <c r="AX236" s="13">
        <f>+((AX140*AX116)+(AX89*AX65)+(AX40*AX16))/(AX212)</f>
        <v>257683.39208333334</v>
      </c>
      <c r="AY236" s="63">
        <f>+((AY140*AY116)+(AY89*AY65)+(AY40*AY16))/(AY212)</f>
        <v>289959.44505707099</v>
      </c>
      <c r="AZ236" s="64">
        <f>+((AZ140*AZ116)+(AZ89*AZ65)+(AZ40*AZ16)+(AZ188*AZ164))/(AZ212)</f>
        <v>292308.19584921643</v>
      </c>
      <c r="BA236" s="64">
        <v>312922</v>
      </c>
      <c r="BB236" s="65">
        <f>+((BB140*BB116)+(BB89*BB65)+(BB40*BB16)+(BB188*BB164))/(BB212)</f>
        <v>285006.2431280631</v>
      </c>
      <c r="BC236" s="112">
        <f>+((BC140*BC116)+(BC89*BC65)+(BC40*BC16)+(BC188*BC164))/(BC212)</f>
        <v>384838.76039967372</v>
      </c>
      <c r="BD236" s="113">
        <f>+((BD140*BD116)+(BD89*BD65)+(BD40*BD16)+(BD188*BD164))/(BD212)-8</f>
        <v>335882.50322684739</v>
      </c>
      <c r="BE236" s="113">
        <f>+((BE140*BE116)+(BE89*BE65)+(BE40*BE16)+(BE188*BE164))/(BE212)-105</f>
        <v>348857.3395709364</v>
      </c>
      <c r="BF236" s="114">
        <f>+((BF140*BF116)+(BF89*BF65)+(BF40*BF16)+(BF188*BF164))/(BF212)</f>
        <v>329166.43198687397</v>
      </c>
    </row>
    <row r="237" spans="2:66" x14ac:dyDescent="0.25">
      <c r="B237" t="s">
        <v>83</v>
      </c>
      <c r="C237" s="14">
        <f>+C236/(32.15074)/(C244)</f>
        <v>150.65049471767102</v>
      </c>
      <c r="D237" s="14">
        <f t="shared" ref="D237:AZ237" si="282">+D236/(32.15074)/(D244)</f>
        <v>160.40618841075317</v>
      </c>
      <c r="E237" s="14">
        <f t="shared" si="282"/>
        <v>177.05747002169571</v>
      </c>
      <c r="F237" s="14">
        <f t="shared" si="282"/>
        <v>192.17247498903558</v>
      </c>
      <c r="G237" s="14">
        <f t="shared" si="282"/>
        <v>230.09620023929574</v>
      </c>
      <c r="H237" s="14">
        <f t="shared" si="282"/>
        <v>270.55249793263414</v>
      </c>
      <c r="I237" s="14">
        <f t="shared" si="282"/>
        <v>307.14031016620044</v>
      </c>
      <c r="J237" s="14">
        <f t="shared" si="282"/>
        <v>345.3278169318462</v>
      </c>
      <c r="K237" s="14">
        <f t="shared" si="282"/>
        <v>334.17603840179964</v>
      </c>
      <c r="L237" s="14">
        <f t="shared" si="282"/>
        <v>344.18210182079923</v>
      </c>
      <c r="M237" s="14">
        <f t="shared" si="282"/>
        <v>358.29380738352921</v>
      </c>
      <c r="N237" s="14">
        <f t="shared" si="282"/>
        <v>365.66625605791074</v>
      </c>
      <c r="O237" s="14">
        <f t="shared" si="282"/>
        <v>374.18902357677882</v>
      </c>
      <c r="P237" s="14">
        <f t="shared" si="282"/>
        <v>363.17241098975825</v>
      </c>
      <c r="Q237" s="14">
        <f t="shared" si="282"/>
        <v>380.65977386989351</v>
      </c>
      <c r="R237" s="14">
        <f t="shared" si="282"/>
        <v>366.08986698214511</v>
      </c>
      <c r="S237" s="14">
        <f t="shared" si="282"/>
        <v>414.96366302848725</v>
      </c>
      <c r="T237" s="14">
        <f t="shared" si="282"/>
        <v>401.184132424366</v>
      </c>
      <c r="U237" s="14">
        <f t="shared" si="282"/>
        <v>339.69828485171479</v>
      </c>
      <c r="V237" s="14">
        <f t="shared" si="282"/>
        <v>346.49068776090326</v>
      </c>
      <c r="W237" s="14">
        <f t="shared" si="282"/>
        <v>383.00543469048296</v>
      </c>
      <c r="X237" s="14">
        <f t="shared" si="282"/>
        <v>377.58605398155521</v>
      </c>
      <c r="Y237" s="14">
        <f t="shared" si="282"/>
        <v>392.76710101219459</v>
      </c>
      <c r="Z237" s="14">
        <f t="shared" si="282"/>
        <v>440.90487144290807</v>
      </c>
      <c r="AA237" s="13">
        <f t="shared" si="282"/>
        <v>490.13533387580776</v>
      </c>
      <c r="AB237" s="13">
        <f t="shared" si="282"/>
        <v>450.93660187519129</v>
      </c>
      <c r="AC237" s="13">
        <f t="shared" si="282"/>
        <v>573.24244046296565</v>
      </c>
      <c r="AD237" s="13">
        <f t="shared" si="282"/>
        <v>461.7842935213493</v>
      </c>
      <c r="AE237" s="13">
        <f t="shared" si="282"/>
        <v>435.03560886271919</v>
      </c>
      <c r="AF237" s="13">
        <f t="shared" si="282"/>
        <v>511.95590613277761</v>
      </c>
      <c r="AG237" s="13">
        <f t="shared" si="282"/>
        <v>636.76484262898771</v>
      </c>
      <c r="AH237" s="13">
        <f t="shared" si="282"/>
        <v>676.29568341244442</v>
      </c>
      <c r="AI237" s="13">
        <f t="shared" si="282"/>
        <v>877.94491144891447</v>
      </c>
      <c r="AJ237" s="13">
        <f t="shared" si="282"/>
        <v>768.27525222105646</v>
      </c>
      <c r="AK237" s="13">
        <f t="shared" si="282"/>
        <v>807.34085482113676</v>
      </c>
      <c r="AL237" s="13">
        <f t="shared" si="282"/>
        <v>860.56262063955194</v>
      </c>
      <c r="AM237" s="13">
        <f t="shared" si="282"/>
        <v>947.11395763269945</v>
      </c>
      <c r="AN237" s="13">
        <f t="shared" si="282"/>
        <v>1007.0044650389119</v>
      </c>
      <c r="AO237" s="13">
        <f t="shared" si="282"/>
        <v>1012.0738866865818</v>
      </c>
      <c r="AP237" s="13">
        <f t="shared" si="282"/>
        <v>842.76304230851031</v>
      </c>
      <c r="AQ237" s="13">
        <f t="shared" si="282"/>
        <v>1027.1569142851663</v>
      </c>
      <c r="AR237" s="13">
        <f t="shared" si="282"/>
        <v>962.55641790671586</v>
      </c>
      <c r="AS237" s="13">
        <f t="shared" si="282"/>
        <v>1118.6302624517771</v>
      </c>
      <c r="AT237" s="13">
        <f t="shared" si="282"/>
        <v>1338.4659604578503</v>
      </c>
      <c r="AU237" s="13">
        <f t="shared" si="282"/>
        <v>1072.6814722322506</v>
      </c>
      <c r="AV237" s="13">
        <f t="shared" si="282"/>
        <v>906.66013240082839</v>
      </c>
      <c r="AW237" s="13">
        <f t="shared" si="282"/>
        <v>816.98603446273114</v>
      </c>
      <c r="AX237" s="13">
        <f t="shared" si="282"/>
        <v>792.76469286852443</v>
      </c>
      <c r="AY237" s="63">
        <f t="shared" si="282"/>
        <v>833.52575922998983</v>
      </c>
      <c r="AZ237" s="64">
        <f t="shared" si="282"/>
        <v>863.4190926463906</v>
      </c>
      <c r="BA237" s="64">
        <f t="shared" ref="BA237:BB237" si="283">+BA236/(32.15074)/(BA244)</f>
        <v>907.9257607951439</v>
      </c>
      <c r="BB237" s="65">
        <f t="shared" si="283"/>
        <v>791.48990018820916</v>
      </c>
      <c r="BC237" s="112">
        <f t="shared" ref="BC237:BD237" si="284">+BC236/(32.15074)/(BC244)</f>
        <v>1023.0620428507045</v>
      </c>
      <c r="BD237" s="113">
        <f t="shared" si="284"/>
        <v>865.54397523304158</v>
      </c>
      <c r="BE237" s="113">
        <f t="shared" ref="BE237:BF237" si="285">+BE236/(32.15074)/(BE244)</f>
        <v>834.66756805582418</v>
      </c>
      <c r="BF237" s="114">
        <f t="shared" si="285"/>
        <v>720.49419932334774</v>
      </c>
    </row>
    <row r="238" spans="2:66" x14ac:dyDescent="0.25">
      <c r="B238" t="s">
        <v>84</v>
      </c>
      <c r="C238" s="14">
        <f t="shared" ref="C238:AW238" si="286">+((-C225+C221)*1000000)/(C212)</f>
        <v>66363.172226004084</v>
      </c>
      <c r="D238" s="14">
        <f t="shared" si="286"/>
        <v>66390.1751560298</v>
      </c>
      <c r="E238" s="14">
        <f t="shared" si="286"/>
        <v>77051.558355437664</v>
      </c>
      <c r="F238" s="14">
        <f t="shared" si="286"/>
        <v>77889.36450444517</v>
      </c>
      <c r="G238" s="14">
        <f t="shared" si="286"/>
        <v>78127.236747926407</v>
      </c>
      <c r="H238" s="14">
        <f t="shared" si="286"/>
        <v>89422.68873637465</v>
      </c>
      <c r="I238" s="14">
        <f t="shared" si="286"/>
        <v>89331.282236901636</v>
      </c>
      <c r="J238" s="14">
        <f t="shared" si="286"/>
        <v>89900.525006907992</v>
      </c>
      <c r="K238" s="14">
        <f t="shared" si="286"/>
        <v>83078.986311505752</v>
      </c>
      <c r="L238" s="14">
        <f t="shared" si="286"/>
        <v>84423.819150891373</v>
      </c>
      <c r="M238" s="14">
        <f t="shared" si="286"/>
        <v>83176.454382662181</v>
      </c>
      <c r="N238" s="14">
        <f t="shared" si="286"/>
        <v>81963.945608362497</v>
      </c>
      <c r="O238" s="14">
        <f t="shared" si="286"/>
        <v>81320.61827714002</v>
      </c>
      <c r="P238" s="14">
        <f t="shared" si="286"/>
        <v>85905.600299681595</v>
      </c>
      <c r="Q238" s="14">
        <f t="shared" si="286"/>
        <v>89716.188677369646</v>
      </c>
      <c r="R238" s="14">
        <f t="shared" si="286"/>
        <v>87606.581555053694</v>
      </c>
      <c r="S238" s="14">
        <f t="shared" si="286"/>
        <v>92967.273450711233</v>
      </c>
      <c r="T238" s="14">
        <f t="shared" si="286"/>
        <v>96308.2247752728</v>
      </c>
      <c r="U238" s="14">
        <f t="shared" si="286"/>
        <v>102837.47647816181</v>
      </c>
      <c r="V238" s="14">
        <f t="shared" si="286"/>
        <v>113041.91862252742</v>
      </c>
      <c r="W238" s="14">
        <f t="shared" si="286"/>
        <v>120942.00925673835</v>
      </c>
      <c r="X238" s="14">
        <f t="shared" si="286"/>
        <v>127301.20607737692</v>
      </c>
      <c r="Y238" s="14">
        <f t="shared" si="286"/>
        <v>123938.5065885798</v>
      </c>
      <c r="Z238" s="14">
        <f t="shared" si="286"/>
        <v>135743.12527280665</v>
      </c>
      <c r="AA238" s="13">
        <f t="shared" si="286"/>
        <v>164342.73916035789</v>
      </c>
      <c r="AB238" s="13">
        <f t="shared" si="286"/>
        <v>161579.70201359017</v>
      </c>
      <c r="AC238" s="13">
        <f t="shared" si="286"/>
        <v>191214.11276374958</v>
      </c>
      <c r="AD238" s="13">
        <f t="shared" si="286"/>
        <v>198851.06382978719</v>
      </c>
      <c r="AE238" s="13">
        <f t="shared" si="286"/>
        <v>189381.68357554157</v>
      </c>
      <c r="AF238" s="13">
        <f t="shared" si="286"/>
        <v>198462.88680644508</v>
      </c>
      <c r="AG238" s="13">
        <f t="shared" si="286"/>
        <v>212888.39347916955</v>
      </c>
      <c r="AH238" s="13">
        <f t="shared" si="286"/>
        <v>220049.89308624377</v>
      </c>
      <c r="AI238" s="13">
        <f t="shared" si="286"/>
        <v>284575.07621951215</v>
      </c>
      <c r="AJ238" s="13">
        <f t="shared" si="286"/>
        <v>253221.09471094707</v>
      </c>
      <c r="AK238" s="13">
        <f t="shared" si="286"/>
        <v>256432.88084464555</v>
      </c>
      <c r="AL238" s="13">
        <f t="shared" si="286"/>
        <v>252201.55403814456</v>
      </c>
      <c r="AM238" s="13">
        <f t="shared" si="286"/>
        <v>272250.31002575601</v>
      </c>
      <c r="AN238" s="13">
        <f t="shared" si="286"/>
        <v>280985.85437820014</v>
      </c>
      <c r="AO238" s="13">
        <f t="shared" si="286"/>
        <v>296342.75618374551</v>
      </c>
      <c r="AP238" s="13">
        <f t="shared" si="286"/>
        <v>284801.78097439854</v>
      </c>
      <c r="AQ238" s="13">
        <f t="shared" si="286"/>
        <v>319086.73120172095</v>
      </c>
      <c r="AR238" s="13">
        <f t="shared" si="286"/>
        <v>319257.27069351228</v>
      </c>
      <c r="AS238" s="13">
        <f t="shared" si="286"/>
        <v>384876.85731732141</v>
      </c>
      <c r="AT238" s="13">
        <f t="shared" si="286"/>
        <v>489708.68101302889</v>
      </c>
      <c r="AU238" s="13">
        <f t="shared" si="286"/>
        <v>380444.58762886602</v>
      </c>
      <c r="AV238" s="13">
        <f t="shared" si="286"/>
        <v>339663.09341500769</v>
      </c>
      <c r="AW238" s="13">
        <f t="shared" si="286"/>
        <v>317759.72141613462</v>
      </c>
      <c r="AX238" s="13">
        <v>314175</v>
      </c>
      <c r="AY238" s="63" t="s">
        <v>85</v>
      </c>
      <c r="AZ238" s="64" t="s">
        <v>85</v>
      </c>
      <c r="BA238" s="64" t="s">
        <v>85</v>
      </c>
      <c r="BB238" s="65" t="s">
        <v>85</v>
      </c>
      <c r="BC238" s="112" t="s">
        <v>85</v>
      </c>
      <c r="BD238" s="113" t="s">
        <v>85</v>
      </c>
      <c r="BE238" s="113" t="s">
        <v>85</v>
      </c>
      <c r="BF238" s="114" t="s">
        <v>85</v>
      </c>
    </row>
    <row r="239" spans="2:66" x14ac:dyDescent="0.25">
      <c r="B239" t="s">
        <v>86</v>
      </c>
      <c r="C239" s="14">
        <f>+C238/(32.15074)/(C244)</f>
        <v>179.0221864199151</v>
      </c>
      <c r="D239" s="14">
        <f t="shared" ref="D239:AX239" si="287">+D238/(32.15074)/(D244)</f>
        <v>196.476279219867</v>
      </c>
      <c r="E239" s="14">
        <f t="shared" si="287"/>
        <v>230.88360764441316</v>
      </c>
      <c r="F239" s="14">
        <f t="shared" si="287"/>
        <v>247.96627807487596</v>
      </c>
      <c r="G239" s="14">
        <f t="shared" si="287"/>
        <v>289.9796171968519</v>
      </c>
      <c r="H239" s="14">
        <f t="shared" si="287"/>
        <v>359.34846159646526</v>
      </c>
      <c r="I239" s="14">
        <f t="shared" si="287"/>
        <v>373.45618712903968</v>
      </c>
      <c r="J239" s="14">
        <f t="shared" si="287"/>
        <v>413.64193271418088</v>
      </c>
      <c r="K239" s="14">
        <f t="shared" si="287"/>
        <v>380.56639929993025</v>
      </c>
      <c r="L239" s="14">
        <f t="shared" si="287"/>
        <v>397.85982375942382</v>
      </c>
      <c r="M239" s="14">
        <f t="shared" si="287"/>
        <v>406.77318360941166</v>
      </c>
      <c r="N239" s="14">
        <f t="shared" si="287"/>
        <v>416.56277802606945</v>
      </c>
      <c r="O239" s="14">
        <f t="shared" si="287"/>
        <v>425.10159339662715</v>
      </c>
      <c r="P239" s="14">
        <f t="shared" si="287"/>
        <v>418.14763565140743</v>
      </c>
      <c r="Q239" s="14">
        <f t="shared" si="287"/>
        <v>427.98864466675985</v>
      </c>
      <c r="R239" s="14">
        <f t="shared" si="287"/>
        <v>417.28481372670132</v>
      </c>
      <c r="S239" s="14">
        <f t="shared" si="287"/>
        <v>470.94560646731122</v>
      </c>
      <c r="T239" s="14">
        <f t="shared" si="287"/>
        <v>468.78266775482717</v>
      </c>
      <c r="U239" s="14">
        <f t="shared" si="287"/>
        <v>450.50756581784776</v>
      </c>
      <c r="V239" s="14">
        <f t="shared" si="287"/>
        <v>476.42241350226874</v>
      </c>
      <c r="W239" s="14">
        <f t="shared" si="287"/>
        <v>521.73616471681646</v>
      </c>
      <c r="X239" s="14">
        <f t="shared" si="287"/>
        <v>558.46416344092734</v>
      </c>
      <c r="Y239" s="14">
        <f t="shared" si="287"/>
        <v>542.94637350594007</v>
      </c>
      <c r="Z239" s="14">
        <f t="shared" si="287"/>
        <v>624.56864057459507</v>
      </c>
      <c r="AA239" s="13">
        <f t="shared" si="287"/>
        <v>686.12504953900986</v>
      </c>
      <c r="AB239" s="13">
        <f t="shared" si="287"/>
        <v>646.8071479685226</v>
      </c>
      <c r="AC239" s="13">
        <f t="shared" si="287"/>
        <v>768.40115442912338</v>
      </c>
      <c r="AD239" s="13">
        <f t="shared" si="287"/>
        <v>629.83306661068355</v>
      </c>
      <c r="AE239" s="13">
        <f t="shared" si="287"/>
        <v>593.19536806584813</v>
      </c>
      <c r="AF239" s="13">
        <f t="shared" si="287"/>
        <v>721.13166549186496</v>
      </c>
      <c r="AG239" s="13">
        <f t="shared" si="287"/>
        <v>846.74815350421363</v>
      </c>
      <c r="AH239" s="13">
        <f t="shared" si="287"/>
        <v>913.79414456524978</v>
      </c>
      <c r="AI239" s="13">
        <f t="shared" si="287"/>
        <v>1180.1701452574639</v>
      </c>
      <c r="AJ239" s="13">
        <f t="shared" si="287"/>
        <v>1048.7427501661332</v>
      </c>
      <c r="AK239" s="13">
        <f t="shared" si="287"/>
        <v>1083.6896453333609</v>
      </c>
      <c r="AL239" s="13">
        <f t="shared" si="287"/>
        <v>1133.5761253765395</v>
      </c>
      <c r="AM239" s="13">
        <f t="shared" si="287"/>
        <v>1213.1709071258317</v>
      </c>
      <c r="AN239" s="13">
        <f t="shared" si="287"/>
        <v>1289.0322696683445</v>
      </c>
      <c r="AO239" s="13">
        <f t="shared" si="287"/>
        <v>1307.4172943217013</v>
      </c>
      <c r="AP239" s="13">
        <f t="shared" si="287"/>
        <v>1096.3276481380781</v>
      </c>
      <c r="AQ239" s="13">
        <f t="shared" si="287"/>
        <v>1277.3112958571051</v>
      </c>
      <c r="AR239" s="13">
        <f t="shared" si="287"/>
        <v>1232.0115559577969</v>
      </c>
      <c r="AS239" s="13">
        <f t="shared" si="287"/>
        <v>1449.2749210883223</v>
      </c>
      <c r="AT239" s="13">
        <f t="shared" si="287"/>
        <v>1756.8218812666371</v>
      </c>
      <c r="AU239" s="13">
        <f t="shared" si="287"/>
        <v>1331.0631971426028</v>
      </c>
      <c r="AV239" s="13">
        <f t="shared" si="287"/>
        <v>1122.7104467901113</v>
      </c>
      <c r="AW239" s="13">
        <f t="shared" si="287"/>
        <v>990.32406235447354</v>
      </c>
      <c r="AX239" s="13">
        <f t="shared" si="287"/>
        <v>966.5615054517051</v>
      </c>
      <c r="AY239" s="63" t="s">
        <v>85</v>
      </c>
      <c r="AZ239" s="64" t="s">
        <v>85</v>
      </c>
      <c r="BA239" s="64" t="s">
        <v>85</v>
      </c>
      <c r="BB239" s="65" t="s">
        <v>85</v>
      </c>
      <c r="BC239" s="112" t="s">
        <v>85</v>
      </c>
      <c r="BD239" s="113" t="s">
        <v>85</v>
      </c>
      <c r="BE239" s="113" t="s">
        <v>85</v>
      </c>
      <c r="BF239" s="114" t="s">
        <v>85</v>
      </c>
    </row>
    <row r="240" spans="2:66" x14ac:dyDescent="0.25">
      <c r="B240" t="s">
        <v>87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103">
        <v>296531</v>
      </c>
      <c r="AN240" s="103"/>
      <c r="AO240" s="103"/>
      <c r="AP240" s="103"/>
      <c r="AQ240" s="13">
        <v>336581</v>
      </c>
      <c r="AR240" s="13">
        <v>336581</v>
      </c>
      <c r="AS240" s="13">
        <v>441940</v>
      </c>
      <c r="AT240" s="13">
        <v>441940</v>
      </c>
      <c r="AU240" s="13">
        <v>399495</v>
      </c>
      <c r="AV240" s="13">
        <v>354518</v>
      </c>
      <c r="AW240" s="13">
        <v>339847</v>
      </c>
      <c r="AX240" s="13">
        <v>333833</v>
      </c>
      <c r="AY240" s="63">
        <v>364877</v>
      </c>
      <c r="AZ240" s="64">
        <v>363736</v>
      </c>
      <c r="BA240" s="64">
        <v>384877</v>
      </c>
      <c r="BB240" s="65">
        <v>365076</v>
      </c>
      <c r="BC240" s="112">
        <v>467302</v>
      </c>
      <c r="BD240" s="113">
        <v>409027</v>
      </c>
      <c r="BE240" s="113">
        <v>420811</v>
      </c>
      <c r="BF240" s="114">
        <v>402797</v>
      </c>
    </row>
    <row r="241" spans="2:58" x14ac:dyDescent="0.25">
      <c r="B241" t="s">
        <v>88</v>
      </c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103">
        <v>1277</v>
      </c>
      <c r="AN241" s="103"/>
      <c r="AO241" s="103"/>
      <c r="AP241" s="103"/>
      <c r="AQ241" s="103">
        <v>1322</v>
      </c>
      <c r="AR241" s="103"/>
      <c r="AS241" s="103">
        <v>1623</v>
      </c>
      <c r="AT241" s="103"/>
      <c r="AU241" s="13">
        <f t="shared" ref="AU241:AZ241" si="288">+AU240/(32.15074)/(AU244)</f>
        <v>1397.7149609530616</v>
      </c>
      <c r="AV241" s="13">
        <f t="shared" si="288"/>
        <v>1171.8113327338333</v>
      </c>
      <c r="AW241" s="13">
        <f t="shared" si="288"/>
        <v>1059.1608656977239</v>
      </c>
      <c r="AX241" s="13">
        <f t="shared" si="288"/>
        <v>1027.0394749724169</v>
      </c>
      <c r="AY241" s="63">
        <f t="shared" si="288"/>
        <v>1048.8859171002348</v>
      </c>
      <c r="AZ241" s="64">
        <f t="shared" si="288"/>
        <v>1074.4023313148214</v>
      </c>
      <c r="BA241" s="64">
        <f>+BA240/(32.15074)/(BA244)-1</f>
        <v>1115.6991871378575</v>
      </c>
      <c r="BB241" s="65">
        <f t="shared" ref="BB241" si="289">+BB240/(32.15074)/(BB244)</f>
        <v>1013.8513585868143</v>
      </c>
      <c r="BC241" s="112">
        <f t="shared" ref="BC241:BD241" si="290">+BC240/(32.15074)/(BC244)</f>
        <v>1242.2837508667571</v>
      </c>
      <c r="BD241" s="113">
        <f t="shared" si="290"/>
        <v>1054.031847912426</v>
      </c>
      <c r="BE241" s="113">
        <f t="shared" ref="BE241:BF241" si="291">+BE240/(32.15074)/(BE244)</f>
        <v>1006.8221422921191</v>
      </c>
      <c r="BF241" s="114">
        <f t="shared" si="291"/>
        <v>881.66007770931878</v>
      </c>
    </row>
    <row r="242" spans="2:58" x14ac:dyDescent="0.25">
      <c r="B242" t="s">
        <v>89</v>
      </c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103">
        <f>+AM240</f>
        <v>296531</v>
      </c>
      <c r="AN242" s="103"/>
      <c r="AO242" s="103"/>
      <c r="AP242" s="103"/>
      <c r="AQ242" s="13">
        <f>+AQ240</f>
        <v>336581</v>
      </c>
      <c r="AR242" s="13">
        <f>+AR240</f>
        <v>336581</v>
      </c>
      <c r="AS242" s="13">
        <f>+AS240</f>
        <v>441940</v>
      </c>
      <c r="AT242" s="13">
        <f>+AT240</f>
        <v>441940</v>
      </c>
      <c r="AU242" s="13">
        <f t="shared" ref="AU242:AX242" si="292">+AU240</f>
        <v>399495</v>
      </c>
      <c r="AV242" s="13">
        <f t="shared" si="292"/>
        <v>354518</v>
      </c>
      <c r="AW242" s="13">
        <v>339847</v>
      </c>
      <c r="AX242" s="13">
        <f t="shared" si="292"/>
        <v>333833</v>
      </c>
      <c r="AY242" s="63">
        <v>365187</v>
      </c>
      <c r="AZ242" s="64">
        <v>369716</v>
      </c>
      <c r="BA242" s="64">
        <v>392339</v>
      </c>
      <c r="BB242" s="65">
        <v>373365</v>
      </c>
      <c r="BC242" s="112">
        <v>473573</v>
      </c>
      <c r="BD242" s="113">
        <v>415836</v>
      </c>
      <c r="BE242" s="113">
        <v>429565</v>
      </c>
      <c r="BF242" s="114">
        <v>413548</v>
      </c>
    </row>
    <row r="243" spans="2:58" x14ac:dyDescent="0.25">
      <c r="B243" t="s">
        <v>90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103">
        <f>+AM241</f>
        <v>1277</v>
      </c>
      <c r="AN243" s="103"/>
      <c r="AO243" s="103"/>
      <c r="AP243" s="103"/>
      <c r="AQ243" s="103">
        <f>+AQ241</f>
        <v>1322</v>
      </c>
      <c r="AR243" s="103"/>
      <c r="AS243" s="103">
        <f>+AS241</f>
        <v>1623</v>
      </c>
      <c r="AT243" s="103"/>
      <c r="AU243" s="13">
        <f t="shared" ref="AU243:AZ243" si="293">+AU242/(32.15074)/(AU244)</f>
        <v>1397.7149609530616</v>
      </c>
      <c r="AV243" s="13">
        <f t="shared" si="293"/>
        <v>1171.8113327338333</v>
      </c>
      <c r="AW243" s="13">
        <f t="shared" si="293"/>
        <v>1059.1608656977239</v>
      </c>
      <c r="AX243" s="13">
        <f t="shared" si="293"/>
        <v>1027.0394749724169</v>
      </c>
      <c r="AY243" s="63">
        <f t="shared" si="293"/>
        <v>1049.7770520150173</v>
      </c>
      <c r="AZ243" s="64">
        <f t="shared" si="293"/>
        <v>1092.0660377977172</v>
      </c>
      <c r="BA243" s="64">
        <f t="shared" ref="BA243:BB243" si="294">+BA242/(32.15074)/(BA244)</f>
        <v>1138.3497646845092</v>
      </c>
      <c r="BB243" s="65">
        <f t="shared" si="294"/>
        <v>1036.8707132179763</v>
      </c>
      <c r="BC243" s="112">
        <f t="shared" ref="BC243:BD243" si="295">+BC242/(32.15074)/(BC244)</f>
        <v>1258.9546861541846</v>
      </c>
      <c r="BD243" s="113">
        <f t="shared" si="295"/>
        <v>1071.5781293374557</v>
      </c>
      <c r="BE243" s="113">
        <f t="shared" ref="BE243:BF243" si="296">+BE242/(32.15074)/(BE244)</f>
        <v>1027.7667493333447</v>
      </c>
      <c r="BF243" s="114">
        <f t="shared" si="296"/>
        <v>905.19234705455449</v>
      </c>
    </row>
    <row r="244" spans="2:58" x14ac:dyDescent="0.25">
      <c r="B244" s="35" t="s">
        <v>91</v>
      </c>
      <c r="C244" s="49">
        <f t="shared" ref="C244:AH244" si="297">+C48</f>
        <v>11.53</v>
      </c>
      <c r="D244" s="42">
        <f t="shared" si="297"/>
        <v>10.51</v>
      </c>
      <c r="E244" s="42">
        <f t="shared" si="297"/>
        <v>10.38</v>
      </c>
      <c r="F244" s="42">
        <f t="shared" si="297"/>
        <v>9.77</v>
      </c>
      <c r="G244" s="42">
        <f t="shared" si="297"/>
        <v>8.3800000000000008</v>
      </c>
      <c r="H244" s="42">
        <f t="shared" si="297"/>
        <v>7.74</v>
      </c>
      <c r="I244" s="42">
        <f t="shared" si="297"/>
        <v>7.44</v>
      </c>
      <c r="J244" s="42">
        <f t="shared" si="297"/>
        <v>6.76</v>
      </c>
      <c r="K244" s="42">
        <f t="shared" si="297"/>
        <v>6.79</v>
      </c>
      <c r="L244" s="42">
        <f t="shared" si="297"/>
        <v>6.6</v>
      </c>
      <c r="M244" s="42">
        <f t="shared" si="297"/>
        <v>6.36</v>
      </c>
      <c r="N244" s="42">
        <f t="shared" si="297"/>
        <v>6.12</v>
      </c>
      <c r="O244" s="42">
        <f t="shared" si="297"/>
        <v>5.95</v>
      </c>
      <c r="P244" s="42">
        <f t="shared" si="297"/>
        <v>6.39</v>
      </c>
      <c r="Q244" s="42">
        <f t="shared" si="297"/>
        <v>6.52</v>
      </c>
      <c r="R244" s="42">
        <f t="shared" si="297"/>
        <v>6.53</v>
      </c>
      <c r="S244" s="42">
        <f t="shared" si="297"/>
        <v>6.14</v>
      </c>
      <c r="T244" s="42">
        <f t="shared" si="297"/>
        <v>6.39</v>
      </c>
      <c r="U244" s="42">
        <f t="shared" si="297"/>
        <v>7.1</v>
      </c>
      <c r="V244" s="42">
        <f t="shared" si="297"/>
        <v>7.38</v>
      </c>
      <c r="W244" s="42">
        <f t="shared" si="297"/>
        <v>7.21</v>
      </c>
      <c r="X244" s="42">
        <f t="shared" si="297"/>
        <v>7.09</v>
      </c>
      <c r="Y244" s="42">
        <f t="shared" si="297"/>
        <v>7.1</v>
      </c>
      <c r="Z244" s="42">
        <f t="shared" si="297"/>
        <v>6.76</v>
      </c>
      <c r="AA244">
        <f t="shared" si="297"/>
        <v>7.45</v>
      </c>
      <c r="AB244">
        <f t="shared" si="297"/>
        <v>7.77</v>
      </c>
      <c r="AC244">
        <f t="shared" si="297"/>
        <v>7.74</v>
      </c>
      <c r="AD244">
        <f t="shared" si="297"/>
        <v>9.82</v>
      </c>
      <c r="AE244">
        <f t="shared" si="297"/>
        <v>9.93</v>
      </c>
      <c r="AF244">
        <f t="shared" si="297"/>
        <v>8.56</v>
      </c>
      <c r="AG244">
        <f t="shared" si="297"/>
        <v>7.82</v>
      </c>
      <c r="AH244">
        <f t="shared" si="297"/>
        <v>7.49</v>
      </c>
      <c r="AI244">
        <f t="shared" ref="AI244:BA244" si="298">+AI48</f>
        <v>7.5</v>
      </c>
      <c r="AJ244">
        <f t="shared" si="298"/>
        <v>7.51</v>
      </c>
      <c r="AK244">
        <f t="shared" si="298"/>
        <v>7.36</v>
      </c>
      <c r="AL244">
        <f t="shared" si="298"/>
        <v>6.92</v>
      </c>
      <c r="AM244">
        <f t="shared" si="298"/>
        <v>6.98</v>
      </c>
      <c r="AN244">
        <f t="shared" si="298"/>
        <v>6.78</v>
      </c>
      <c r="AO244">
        <f t="shared" si="298"/>
        <v>7.05</v>
      </c>
      <c r="AP244">
        <f t="shared" si="298"/>
        <v>8.08</v>
      </c>
      <c r="AQ244">
        <f t="shared" si="298"/>
        <v>7.77</v>
      </c>
      <c r="AR244">
        <f t="shared" si="298"/>
        <v>8.06</v>
      </c>
      <c r="AS244">
        <f t="shared" si="298"/>
        <v>8.26</v>
      </c>
      <c r="AT244">
        <f t="shared" si="298"/>
        <v>8.67</v>
      </c>
      <c r="AU244">
        <f t="shared" si="298"/>
        <v>8.89</v>
      </c>
      <c r="AV244">
        <f t="shared" si="298"/>
        <v>9.41</v>
      </c>
      <c r="AW244">
        <f t="shared" si="298"/>
        <v>9.98</v>
      </c>
      <c r="AX244">
        <f t="shared" si="298"/>
        <v>10.11</v>
      </c>
      <c r="AY244" s="81">
        <f t="shared" si="298"/>
        <v>10.82</v>
      </c>
      <c r="AZ244" s="82">
        <f t="shared" si="298"/>
        <v>10.53</v>
      </c>
      <c r="BA244" s="82">
        <f t="shared" si="298"/>
        <v>10.72</v>
      </c>
      <c r="BB244" s="91">
        <f t="shared" ref="BB244:BC244" si="299">+BB48</f>
        <v>11.2</v>
      </c>
      <c r="BC244" s="141">
        <f t="shared" si="299"/>
        <v>11.7</v>
      </c>
      <c r="BD244" s="135">
        <f t="shared" ref="BD244:BE244" si="300">+BD48</f>
        <v>12.07</v>
      </c>
      <c r="BE244" s="142">
        <f t="shared" si="300"/>
        <v>13</v>
      </c>
      <c r="BF244" s="143">
        <f t="shared" ref="BF244" si="301">+BF48</f>
        <v>14.21</v>
      </c>
    </row>
    <row r="245" spans="2:58" x14ac:dyDescent="0.25"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Y245" s="81"/>
      <c r="AZ245" s="82"/>
      <c r="BA245" s="82"/>
      <c r="BB245" s="83"/>
      <c r="BC245" s="131"/>
      <c r="BD245" s="135"/>
      <c r="BE245" s="132"/>
      <c r="BF245" s="133"/>
    </row>
    <row r="246" spans="2:58" x14ac:dyDescent="0.25">
      <c r="B246" t="s">
        <v>95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X246" t="s">
        <v>96</v>
      </c>
      <c r="AY246" s="81"/>
      <c r="AZ246" s="82"/>
      <c r="BA246" s="82"/>
      <c r="BB246" s="83"/>
      <c r="BC246" s="131"/>
      <c r="BD246" s="135"/>
      <c r="BE246" s="132"/>
      <c r="BF246" s="133"/>
    </row>
    <row r="247" spans="2:58" x14ac:dyDescent="0.25">
      <c r="B247" t="s">
        <v>97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X247" t="s">
        <v>98</v>
      </c>
      <c r="AY247" s="81"/>
      <c r="AZ247" s="82"/>
      <c r="BA247" s="82"/>
      <c r="BB247" s="83"/>
      <c r="BC247" s="131"/>
      <c r="BD247" s="135"/>
      <c r="BE247" s="132"/>
      <c r="BF247" s="133"/>
    </row>
    <row r="248" spans="2:58" x14ac:dyDescent="0.25"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X248" t="s">
        <v>99</v>
      </c>
      <c r="AY248" s="81"/>
      <c r="AZ248" s="82"/>
      <c r="BA248" s="82"/>
      <c r="BB248" s="83"/>
      <c r="BC248" s="131"/>
      <c r="BD248" s="135"/>
      <c r="BE248" s="132"/>
      <c r="BF248" s="133"/>
    </row>
    <row r="249" spans="2:58" x14ac:dyDescent="0.25"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X249" t="s">
        <v>100</v>
      </c>
      <c r="AY249" s="81"/>
      <c r="AZ249" s="82"/>
      <c r="BA249" s="82"/>
      <c r="BB249" s="83"/>
      <c r="BC249" s="131"/>
      <c r="BD249" s="135"/>
      <c r="BE249" s="132"/>
      <c r="BF249" s="133"/>
    </row>
    <row r="250" spans="2:58" x14ac:dyDescent="0.25"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X250" t="s">
        <v>101</v>
      </c>
      <c r="AY250" s="81"/>
      <c r="AZ250" s="82"/>
      <c r="BA250" s="82"/>
      <c r="BB250" s="83"/>
      <c r="BC250" s="131"/>
      <c r="BD250" s="135"/>
      <c r="BE250" s="132"/>
      <c r="BF250" s="133"/>
    </row>
    <row r="251" spans="2:58" x14ac:dyDescent="0.25"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X251" t="s">
        <v>102</v>
      </c>
      <c r="AY251" s="81"/>
      <c r="AZ251" s="82"/>
      <c r="BA251" s="82"/>
      <c r="BB251" s="83"/>
      <c r="BC251" s="131"/>
      <c r="BD251" s="135"/>
      <c r="BE251" s="132"/>
      <c r="BF251" s="133"/>
    </row>
    <row r="252" spans="2:58" x14ac:dyDescent="0.25"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Y252" s="81"/>
      <c r="AZ252" s="82"/>
      <c r="BA252" s="82"/>
      <c r="BB252" s="83"/>
      <c r="BC252" s="131"/>
      <c r="BD252" s="135"/>
      <c r="BE252" s="132"/>
      <c r="BF252" s="133"/>
    </row>
    <row r="253" spans="2:58" x14ac:dyDescent="0.25">
      <c r="B253" t="s">
        <v>103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Q253" s="6">
        <f>+((AQ234-AQ242)/1000000)*AQ212</f>
        <v>838.38611300000048</v>
      </c>
      <c r="AR253" s="6">
        <f>+((AR234-AQ242)/1000000)*AR212</f>
        <v>950.00732500000015</v>
      </c>
      <c r="AS253" s="6">
        <f>+((AS234-AS242)/1000000)*AS212</f>
        <v>-56.702439999999761</v>
      </c>
      <c r="AT253" s="6">
        <f>+((AT234-AS242)/1000000)*AT212</f>
        <v>256.90785999999991</v>
      </c>
      <c r="AU253" s="6">
        <f t="shared" ref="AU253:BA253" si="302">+((AU234-AU242)/1000000)*AU212</f>
        <v>658.00256000000002</v>
      </c>
      <c r="AV253" s="6">
        <f t="shared" si="302"/>
        <v>901.79568200000006</v>
      </c>
      <c r="AW253" s="6">
        <f t="shared" si="302"/>
        <v>1028.0053330000007</v>
      </c>
      <c r="AX253" s="6">
        <f t="shared" si="302"/>
        <v>982.90400000000022</v>
      </c>
      <c r="AY253" s="59">
        <f t="shared" si="302"/>
        <v>914.09679400000016</v>
      </c>
      <c r="AZ253" s="57">
        <f t="shared" si="302"/>
        <v>774.60262000000012</v>
      </c>
      <c r="BA253" s="57">
        <f t="shared" si="302"/>
        <v>659.39427999999907</v>
      </c>
      <c r="BB253" s="58">
        <f t="shared" ref="BB253:BC253" si="303">+((BB234-BB242)/1000000)*BB212</f>
        <v>853.29416499999968</v>
      </c>
      <c r="BC253" s="108">
        <f t="shared" si="303"/>
        <v>-137.40398399999918</v>
      </c>
      <c r="BD253" s="106">
        <f t="shared" ref="BD253" si="304">+((BD234-BD242)/1000000)*BD212</f>
        <v>583.29777599999932</v>
      </c>
      <c r="BE253" s="106">
        <f>+((BE234-BE242)/1000000)*BE212</f>
        <v>520.89799600000129</v>
      </c>
      <c r="BF253" s="107">
        <f>+((BF234-BF242)/1000000)*BF212</f>
        <v>1171.6991480000006</v>
      </c>
    </row>
    <row r="254" spans="2:58" x14ac:dyDescent="0.25">
      <c r="B254" t="s">
        <v>104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Q254" s="50">
        <f>+AQ253/AQ224</f>
        <v>0.19585714923141626</v>
      </c>
      <c r="AR254" s="50">
        <f t="shared" ref="AR254:AZ254" si="305">+AR253/AR224</f>
        <v>0.20164441343153697</v>
      </c>
      <c r="AS254" s="50">
        <f t="shared" si="305"/>
        <v>-1.3230304727238733E-2</v>
      </c>
      <c r="AT254" s="50">
        <f t="shared" si="305"/>
        <v>7.8425990597716558E-2</v>
      </c>
      <c r="AU254" s="50">
        <f t="shared" si="305"/>
        <v>0.15029409104406019</v>
      </c>
      <c r="AV254" s="50">
        <f t="shared" si="305"/>
        <v>0.18642541955222955</v>
      </c>
      <c r="AW254" s="50">
        <f t="shared" si="305"/>
        <v>0.2005120702568805</v>
      </c>
      <c r="AX254" s="50">
        <f t="shared" si="305"/>
        <v>0.19701818036040014</v>
      </c>
      <c r="AY254" s="94">
        <f t="shared" si="305"/>
        <v>0.19492830511366063</v>
      </c>
      <c r="AZ254" s="95">
        <f t="shared" si="305"/>
        <v>0.15072729077075753</v>
      </c>
      <c r="BA254" s="95">
        <f t="shared" ref="BA254:BB254" si="306">+BA253/BA224</f>
        <v>0.11286939285530873</v>
      </c>
      <c r="BB254" s="96">
        <f t="shared" si="306"/>
        <v>0.13965763187613542</v>
      </c>
      <c r="BC254" s="149">
        <f t="shared" ref="BC254:BD254" si="307">+BC253/BC224</f>
        <v>-3.048408927541358E-2</v>
      </c>
      <c r="BD254" s="150">
        <f t="shared" si="307"/>
        <v>0.10165346996392523</v>
      </c>
      <c r="BE254" s="150">
        <f t="shared" ref="BE254:BF254" si="308">+BE253/BE224</f>
        <v>8.6712277933147092E-2</v>
      </c>
      <c r="BF254" s="151">
        <f t="shared" si="308"/>
        <v>0.18124571101520573</v>
      </c>
    </row>
    <row r="255" spans="2:58" x14ac:dyDescent="0.25"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W255" s="42"/>
      <c r="X255" s="42"/>
      <c r="Y255" s="42"/>
      <c r="Z255" s="42"/>
      <c r="AY255" s="97"/>
      <c r="AZ255" s="98"/>
      <c r="BA255" s="98"/>
      <c r="BB255" s="99"/>
      <c r="BC255" s="152"/>
      <c r="BD255" s="153"/>
      <c r="BE255" s="153"/>
      <c r="BF255" s="154"/>
    </row>
    <row r="256" spans="2:58" x14ac:dyDescent="0.25"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W256" s="42"/>
      <c r="X256" s="42"/>
      <c r="Y256" s="42"/>
      <c r="Z256" s="42"/>
      <c r="BC256" s="51"/>
      <c r="BD256" s="51"/>
      <c r="BE256" s="51"/>
      <c r="BF256" s="51"/>
    </row>
    <row r="257" spans="3:58" x14ac:dyDescent="0.25"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BC257" s="51"/>
      <c r="BD257" s="51"/>
      <c r="BE257" s="51"/>
      <c r="BF257" s="51"/>
    </row>
    <row r="258" spans="3:58" x14ac:dyDescent="0.25"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BC258" s="51"/>
      <c r="BD258" s="51"/>
      <c r="BE258" s="51"/>
      <c r="BF258" s="51"/>
    </row>
    <row r="259" spans="3:58" x14ac:dyDescent="0.25">
      <c r="C259" s="42"/>
      <c r="D259" s="42"/>
      <c r="E259" s="42"/>
      <c r="F259" s="42"/>
      <c r="G259" s="42"/>
      <c r="H259" s="42"/>
      <c r="M259" s="42"/>
      <c r="N259" s="42"/>
      <c r="O259" s="42"/>
      <c r="P259" s="42"/>
      <c r="AX259" s="6"/>
      <c r="BC259" s="51"/>
      <c r="BD259" s="51"/>
      <c r="BE259" s="51"/>
      <c r="BF259" s="51"/>
    </row>
    <row r="260" spans="3:58" x14ac:dyDescent="0.25">
      <c r="C260" s="42"/>
      <c r="D260" s="42"/>
      <c r="E260" s="42"/>
      <c r="F260" s="42"/>
      <c r="G260" s="42"/>
      <c r="H260" s="42"/>
      <c r="AX260" s="6"/>
      <c r="BC260" s="51"/>
      <c r="BD260" s="51"/>
      <c r="BE260" s="51"/>
      <c r="BF260" s="51"/>
    </row>
    <row r="261" spans="3:58" x14ac:dyDescent="0.25">
      <c r="AX261" s="6"/>
      <c r="BC261" s="51"/>
    </row>
    <row r="262" spans="3:58" x14ac:dyDescent="0.25">
      <c r="AX262" s="6"/>
      <c r="BC262" s="51"/>
    </row>
  </sheetData>
  <mergeCells count="56">
    <mergeCell ref="AM243:AP243"/>
    <mergeCell ref="AQ243:AR243"/>
    <mergeCell ref="AS243:AT243"/>
    <mergeCell ref="AM194:AP194"/>
    <mergeCell ref="AQ194:AR194"/>
    <mergeCell ref="AS194:AT194"/>
    <mergeCell ref="AM195:AP195"/>
    <mergeCell ref="AQ195:AR195"/>
    <mergeCell ref="AS195:AT195"/>
    <mergeCell ref="AM240:AP240"/>
    <mergeCell ref="AM241:AP241"/>
    <mergeCell ref="AQ241:AR241"/>
    <mergeCell ref="AS241:AT241"/>
    <mergeCell ref="AM242:AP242"/>
    <mergeCell ref="AM192:AP192"/>
    <mergeCell ref="AQ192:AR192"/>
    <mergeCell ref="AS192:AT192"/>
    <mergeCell ref="AM193:AP193"/>
    <mergeCell ref="AQ193:AR193"/>
    <mergeCell ref="AS193:AT193"/>
    <mergeCell ref="AM146:AP146"/>
    <mergeCell ref="AQ146:AR146"/>
    <mergeCell ref="AS146:AT146"/>
    <mergeCell ref="AM147:AP147"/>
    <mergeCell ref="AQ147:AR147"/>
    <mergeCell ref="AS147:AT147"/>
    <mergeCell ref="AM144:AP144"/>
    <mergeCell ref="AQ144:AR144"/>
    <mergeCell ref="AS144:AT144"/>
    <mergeCell ref="AM145:AP145"/>
    <mergeCell ref="AQ145:AR145"/>
    <mergeCell ref="AS145:AT145"/>
    <mergeCell ref="AM95:AP95"/>
    <mergeCell ref="AQ95:AR95"/>
    <mergeCell ref="AS95:AT95"/>
    <mergeCell ref="AM96:AP96"/>
    <mergeCell ref="AQ96:AR96"/>
    <mergeCell ref="AS96:AT96"/>
    <mergeCell ref="AM93:AP93"/>
    <mergeCell ref="AQ93:AR93"/>
    <mergeCell ref="AS93:AT93"/>
    <mergeCell ref="AM94:AP94"/>
    <mergeCell ref="AQ94:AR94"/>
    <mergeCell ref="AS94:AT94"/>
    <mergeCell ref="AM46:AP46"/>
    <mergeCell ref="AQ46:AR46"/>
    <mergeCell ref="AS46:AT46"/>
    <mergeCell ref="AM47:AP47"/>
    <mergeCell ref="AQ47:AR47"/>
    <mergeCell ref="AS47:AT47"/>
    <mergeCell ref="AM44:AP44"/>
    <mergeCell ref="AQ44:AR44"/>
    <mergeCell ref="AS44:AT44"/>
    <mergeCell ref="AM45:AP45"/>
    <mergeCell ref="AQ45:AR45"/>
    <mergeCell ref="AS45:AT45"/>
  </mergeCells>
  <pageMargins left="0.70866141732283472" right="0.70866141732283472" top="0.74803149606299213" bottom="0.74803149606299213" header="0.31496062992125984" footer="0.31496062992125984"/>
  <pageSetup paperSize="8" scale="1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Sibanyehistory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Wellsted</dc:creator>
  <cp:lastModifiedBy>Tony Doyle</cp:lastModifiedBy>
  <cp:lastPrinted>2014-10-27T15:18:24Z</cp:lastPrinted>
  <dcterms:created xsi:type="dcterms:W3CDTF">2014-07-28T09:38:52Z</dcterms:created>
  <dcterms:modified xsi:type="dcterms:W3CDTF">2016-02-16T08:51:04Z</dcterms:modified>
</cp:coreProperties>
</file>